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320" windowHeight="8208" activeTab="2"/>
  </bookViews>
  <sheets>
    <sheet name="доходы 1" sheetId="1" r:id="rId1"/>
    <sheet name="Ведом2" sheetId="2" r:id="rId2"/>
    <sheet name="ассигнов 3" sheetId="3" r:id="rId3"/>
    <sheet name="Прил 4" sheetId="4" r:id="rId4"/>
    <sheet name="Приложение 5" sheetId="5" r:id="rId5"/>
    <sheet name="справка" sheetId="6" r:id="rId6"/>
  </sheets>
  <definedNames>
    <definedName name="_xlnm.Print_Area" localSheetId="2">'ассигнов 3'!$A$1:$M$326</definedName>
    <definedName name="_xlnm.Print_Area" localSheetId="0">'доходы 1'!$A$1:$D$88</definedName>
    <definedName name="_xlnm.Print_Area" localSheetId="5">'справка'!$A$1:$F$41</definedName>
  </definedNames>
  <calcPr fullCalcOnLoad="1"/>
</workbook>
</file>

<file path=xl/sharedStrings.xml><?xml version="1.0" encoding="utf-8"?>
<sst xmlns="http://schemas.openxmlformats.org/spreadsheetml/2006/main" count="2334" uniqueCount="479">
  <si>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</si>
  <si>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</si>
  <si>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</si>
  <si>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</si>
  <si>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</si>
  <si>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</si>
  <si>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</si>
  <si>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</si>
  <si>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</si>
  <si>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</si>
  <si>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</si>
  <si>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</si>
  <si>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</si>
  <si>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</si>
  <si>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</si>
  <si>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</si>
  <si>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</si>
  <si>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</si>
  <si>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</si>
  <si>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</si>
  <si>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</si>
  <si>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</si>
  <si>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</si>
  <si>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</si>
  <si>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</si>
  <si>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</si>
  <si>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</si>
  <si>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</si>
  <si>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</si>
  <si>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</si>
  <si>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</si>
  <si>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</si>
  <si>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</si>
  <si>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</si>
  <si>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</si>
  <si>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</si>
  <si>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2.3.3.1.</t>
  </si>
  <si>
    <t>2.3.4.</t>
  </si>
  <si>
    <t>2.3.4.1.</t>
  </si>
  <si>
    <t>2.3.5.</t>
  </si>
  <si>
    <t>2.3.6.</t>
  </si>
  <si>
    <t>2.3.7.</t>
  </si>
  <si>
    <t>2.3.7.1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</si>
  <si>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</si>
  <si>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</si>
  <si>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</si>
  <si>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</si>
  <si>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3.1.2.</t>
  </si>
  <si>
    <t>3.1.2.1.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</si>
  <si>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</si>
  <si>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</si>
  <si>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</si>
  <si>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</si>
  <si>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</si>
  <si>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</si>
  <si>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</si>
  <si>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</si>
  <si>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</si>
  <si>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</si>
  <si>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</si>
  <si>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</si>
  <si>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</si>
  <si>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</si>
  <si>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</si>
  <si>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</si>
  <si>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</si>
  <si>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</si>
  <si>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</si>
  <si>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</si>
  <si>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</si>
  <si>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</si>
  <si>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</si>
  <si>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</si>
  <si>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</si>
  <si>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</si>
  <si>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</si>
  <si>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</si>
  <si>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</si>
  <si>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</si>
  <si>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</si>
  <si>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</si>
  <si>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</si>
  <si>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</si>
  <si>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</si>
  <si>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</si>
  <si>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</si>
  <si>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</si>
  <si>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</si>
  <si>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</si>
  <si>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</si>
  <si>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</si>
  <si>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</si>
  <si>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</si>
  <si>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</si>
  <si>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</si>
  <si>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</si>
  <si>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</si>
  <si>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Исполнение судебных актов</t>
  </si>
  <si>
    <t>2.3.6.1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</si>
  <si>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</si>
  <si>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Социальныое обеспечение и иные выплаты населению</t>
  </si>
  <si>
    <t>2.3.8.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</si>
  <si>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</si>
  <si>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</si>
  <si>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</si>
  <si>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</si>
  <si>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</si>
  <si>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</si>
  <si>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</si>
  <si>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</si>
  <si>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</si>
  <si>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</si>
  <si>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</si>
  <si>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</si>
  <si>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«Содержание муниципальной информационной службы»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</si>
  <si>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</si>
  <si>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«Осуществление закупок товаров, работ  и услуг для муниципальных нужд»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</si>
  <si>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</si>
  <si>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наркомании в Санкт-Петербурге в соответствии с законами Санкт-Петербурга»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</si>
  <si>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</si>
  <si>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</si>
  <si>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</si>
  <si>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</si>
  <si>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</si>
  <si>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</si>
  <si>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</si>
  <si>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</si>
  <si>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</si>
  <si>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</si>
  <si>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</si>
  <si>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</si>
  <si>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</si>
  <si>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2.3.9.</t>
  </si>
  <si>
    <t>4</t>
  </si>
  <si>
    <t>5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</si>
  <si>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</si>
  <si>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</si>
  <si>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</si>
  <si>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</si>
  <si>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</si>
  <si>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</si>
  <si>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</si>
  <si>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</si>
  <si>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</si>
  <si>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</si>
  <si>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</si>
  <si>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</si>
  <si>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</si>
  <si>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6</t>
  </si>
  <si>
    <t>6.1.2.</t>
  </si>
  <si>
    <t>6.1.2.1.</t>
  </si>
  <si>
    <t>7</t>
  </si>
  <si>
    <t>7.1.1.1</t>
  </si>
  <si>
    <t>7.2.</t>
  </si>
  <si>
    <t>7.2.1.</t>
  </si>
  <si>
    <t>7.2.1.1</t>
  </si>
  <si>
    <t>7.2.2.</t>
  </si>
  <si>
    <t>7.2.2.1.</t>
  </si>
  <si>
    <t>8</t>
  </si>
  <si>
    <t>8.1.1.1.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</si>
  <si>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</si>
  <si>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</si>
  <si>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</si>
  <si>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</si>
  <si>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"Устройство искуственных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</si>
  <si>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</si>
  <si>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</si>
  <si>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</si>
  <si>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</si>
  <si>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</si>
  <si>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</si>
  <si>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</si>
  <si>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</si>
  <si>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</si>
  <si>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</si>
  <si>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7950000491</t>
  </si>
  <si>
    <t>7950000511</t>
  </si>
  <si>
    <t>7950000521</t>
  </si>
  <si>
    <t>7950000541</t>
  </si>
  <si>
    <t>7950000101</t>
  </si>
  <si>
    <t>3450000581</t>
  </si>
  <si>
    <t>2190000081</t>
  </si>
  <si>
    <t>2190000091</t>
  </si>
  <si>
    <t>6000000131</t>
  </si>
  <si>
    <t>6000000151</t>
  </si>
  <si>
    <t>6000000161</t>
  </si>
  <si>
    <t>6000000133</t>
  </si>
  <si>
    <t>7950000181</t>
  </si>
  <si>
    <t>4500000201</t>
  </si>
  <si>
    <t>4500000560</t>
  </si>
  <si>
    <t>0920000231</t>
  </si>
  <si>
    <t>4570000251</t>
  </si>
  <si>
    <t>3300000072</t>
  </si>
  <si>
    <t>Расходы на благоустройство территории муниципального образования, софинансируемые  за счет средств местного бюджета</t>
  </si>
  <si>
    <t>4.1.7.</t>
  </si>
  <si>
    <t>4.1.7.1.</t>
  </si>
  <si>
    <t>6000000134</t>
  </si>
  <si>
    <t xml:space="preserve">«Об утверждении местного бюджета МО Черная речка на 2016 год» 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</si>
  <si>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</si>
  <si>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</si>
  <si>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</si>
  <si>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</si>
  <si>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Закупка товаров, работ, услуг в сфере информационно-коммуникационных технологий</t>
  </si>
  <si>
    <t>Прочие расходы</t>
  </si>
  <si>
    <t>1.2.2.2.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</si>
  <si>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</si>
  <si>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Заработная плата</t>
  </si>
  <si>
    <t>Начисления на выплаты по оплате труда</t>
  </si>
  <si>
    <t>Прочие работы, услуги</t>
  </si>
  <si>
    <t xml:space="preserve"> 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</si>
  <si>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</si>
  <si>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Услуги связи</t>
  </si>
  <si>
    <t>Коммунальные услуги</t>
  </si>
  <si>
    <t>Работы, услуги по содержанию имущества</t>
  </si>
  <si>
    <t>1.2.3.1.</t>
  </si>
  <si>
    <t>Уплата иных платежей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</si>
  <si>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</si>
  <si>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</si>
  <si>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</si>
  <si>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</si>
  <si>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</si>
  <si>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</si>
  <si>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</si>
  <si>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</si>
  <si>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</si>
  <si>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</si>
  <si>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</si>
  <si>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</si>
  <si>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</si>
  <si>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</si>
  <si>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7950000531</t>
  </si>
  <si>
    <t>2.1.2.4.</t>
  </si>
  <si>
    <t>60000S1050</t>
  </si>
  <si>
    <t>60000M1050</t>
  </si>
  <si>
    <t xml:space="preserve">к Решению Муниципального Совета </t>
  </si>
  <si>
    <t>"О внесении изменений и дополнений в Решение Муниципального Совета от 23.11.15 № 31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</si>
  <si>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</si>
  <si>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</si>
  <si>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</si>
  <si>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</si>
  <si>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 xml:space="preserve"> НА 2016 ГОД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</si>
  <si>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</si>
  <si>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</si>
  <si>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Муниципальная программа "Участие в пределах своей компетенции в обеспечении чистоты и порядка на территории муниципального образования Санкт-Петербурга Муниципальный округ Черная речка"</t>
  </si>
  <si>
    <t>Расходы на благоустройство территории муниципального образования,  за счет субсидии из бюджета Санкт-Петербурга</t>
  </si>
  <si>
    <t>51100G0860</t>
  </si>
  <si>
    <t>51100G0870</t>
  </si>
  <si>
    <t>Арендная плата за пользование имуществом</t>
  </si>
  <si>
    <t>5120000241</t>
  </si>
  <si>
    <t>Прочие выплаты</t>
  </si>
  <si>
    <t>Иные выплаты персоналу государственных (муниципальных)
органов, за исключением фонда оплаты труда</t>
  </si>
  <si>
    <t>!</t>
  </si>
  <si>
    <t>Уплата налога на имущество организаций и земельного налога</t>
  </si>
  <si>
    <t>6000000135</t>
  </si>
  <si>
    <t xml:space="preserve">Фонд оплаты труда учреждений
</t>
  </si>
  <si>
    <t>3300000073</t>
  </si>
  <si>
    <t>4.1.8.1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</si>
  <si>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</si>
  <si>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</si>
  <si>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</si>
  <si>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</si>
  <si>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</si>
  <si>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</si>
  <si>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МУНИЦИПАЛЬНЫЙ ОКРУГ ЧЕРНАЯ РЕЧКА НА 2016 ГОД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</si>
  <si>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</si>
  <si>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</si>
  <si>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 xml:space="preserve">Финансирование непредвиденных расходов из средств резервного фонда на проведение аварийно-восстановительных работ в области благоустройства 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</si>
  <si>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</si>
  <si>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</si>
  <si>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</si>
  <si>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</si>
  <si>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</si>
  <si>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</si>
  <si>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</si>
  <si>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</si>
  <si>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</si>
  <si>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</si>
  <si>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</si>
  <si>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</si>
  <si>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</si>
  <si>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вознаграждение приемным родителям</t>
  </si>
  <si>
    <t>966 2 02 03027 03 0200 151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</si>
  <si>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содержание ребенка в семье опекуна и приемной семье</t>
  </si>
  <si>
    <t>966 2 02 03027 03 0100 151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</si>
  <si>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</si>
  <si>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966 2 02 03024 03 0200 151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</si>
  <si>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</si>
  <si>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966 2 02 03024 03 0100 151</t>
  </si>
  <si>
    <t>Прочие субсидии бюджетам внутригородских муниципальных образований городов федерального значения</t>
  </si>
  <si>
    <t>966 2 02 02999 03 0000 151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</si>
  <si>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</si>
  <si>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</si>
  <si>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</si>
  <si>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</si>
  <si>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</si>
  <si>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</si>
  <si>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</si>
  <si>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</si>
  <si>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</si>
  <si>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</si>
  <si>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8.2.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</si>
  <si>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</si>
  <si>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</si>
  <si>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</si>
  <si>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</si>
  <si>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</si>
  <si>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</si>
  <si>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8.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</si>
  <si>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</si>
  <si>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</si>
  <si>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</si>
  <si>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807 1 16 90030 03 0200 140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</si>
  <si>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</si>
  <si>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</si>
  <si>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</si>
  <si>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</si>
  <si>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</si>
  <si>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</si>
  <si>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</si>
  <si>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</si>
  <si>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</si>
  <si>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</si>
  <si>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</si>
  <si>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</si>
  <si>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</si>
  <si>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</si>
  <si>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</si>
  <si>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</si>
  <si>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</si>
  <si>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</si>
  <si>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</si>
  <si>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</si>
  <si>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</si>
  <si>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</si>
  <si>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</si>
  <si>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6.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</si>
  <si>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</si>
  <si>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</si>
  <si>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</si>
  <si>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</si>
  <si>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</si>
  <si>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</si>
  <si>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</si>
  <si>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</si>
  <si>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</si>
  <si>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</si>
  <si>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</si>
  <si>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</si>
  <si>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</si>
  <si>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</si>
  <si>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</si>
  <si>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4.4.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</si>
  <si>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</si>
  <si>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</si>
  <si>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</si>
  <si>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</si>
  <si>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</si>
  <si>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</si>
  <si>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4.3.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</si>
  <si>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</si>
  <si>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</si>
  <si>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</si>
  <si>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</si>
  <si>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4.2.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</si>
  <si>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</si>
  <si>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</si>
  <si>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</si>
  <si>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</si>
  <si>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</si>
  <si>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</si>
  <si>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</si>
  <si>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</si>
  <si>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</si>
  <si>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</si>
  <si>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</si>
  <si>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</si>
  <si>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</si>
  <si>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</si>
  <si>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182 1 06 01010 03 0000 110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</si>
  <si>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</si>
  <si>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</si>
  <si>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</si>
  <si>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</si>
  <si>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</si>
  <si>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</si>
  <si>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</si>
  <si>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</si>
  <si>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</si>
  <si>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</si>
  <si>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</si>
  <si>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</si>
  <si>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</si>
  <si>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</si>
  <si>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Минимальный налог, зачисляемый в бюджеты субъектов Российской Федерации</t>
  </si>
  <si>
    <t>182 1 05 01050 01 0000 110</t>
  </si>
  <si>
    <t>1.1.3.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</si>
  <si>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</si>
  <si>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</si>
  <si>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</si>
  <si>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</si>
  <si>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</si>
  <si>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</si>
  <si>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</si>
  <si>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</si>
  <si>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</si>
  <si>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</si>
  <si>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</si>
  <si>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</si>
  <si>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</si>
  <si>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</si>
  <si>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</si>
  <si>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</si>
  <si>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</si>
  <si>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</si>
  <si>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</si>
  <si>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</si>
  <si>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</si>
  <si>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</si>
  <si>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</si>
  <si>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</si>
  <si>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</si>
  <si>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Иные выплаты персоналу учреждений, за исключением фонда
оплаты труда</t>
  </si>
  <si>
    <t>Социальные выплаты гражданам, кроме публичных
нормативных социальных выплат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</si>
  <si>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</si>
  <si>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1101</t>
  </si>
  <si>
    <t>Физическая культура</t>
  </si>
  <si>
    <t>2.3.5.1</t>
  </si>
  <si>
    <t xml:space="preserve">2.3.8.1. </t>
  </si>
  <si>
    <t>2.3.9.1</t>
  </si>
  <si>
    <t>4.1.7</t>
  </si>
  <si>
    <t>4.1.7.1</t>
  </si>
  <si>
    <t>4.1.7.2.</t>
  </si>
  <si>
    <t>4.1.8.</t>
  </si>
  <si>
    <t>8.2.1.</t>
  </si>
  <si>
    <t>8.2.1.1.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</si>
  <si>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</si>
  <si>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</si>
  <si>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</si>
  <si>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</si>
  <si>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</si>
  <si>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</si>
  <si>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</si>
  <si>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</si>
  <si>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</si>
  <si>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</si>
  <si>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</si>
  <si>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</si>
  <si>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</si>
  <si>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</si>
  <si>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</si>
  <si>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</si>
  <si>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</si>
  <si>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</si>
  <si>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</si>
  <si>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</si>
  <si>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</si>
  <si>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</si>
  <si>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</si>
  <si>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Государственная жилищная инспекция Санкт-Петербурга</t>
  </si>
  <si>
    <t xml:space="preserve">Приложение 5
К Решению Мунициплаьного Совета "О внесении изменений и дополнений в Решение Муниципального Совета от 23.11.15 № 31  
«Об утверждении местного бюджета МО Черная речка на 2016 год»  от 05.12.2016 г. № 49
</t>
  </si>
  <si>
    <t xml:space="preserve">Приложение №4
К Решению Мунициплаьного Совета "О внесении изменений и дополнений в Решение Муниципального Совета от 23.11.15 № 31  
«Об утверждении местного бюджета МО Черная речка на 2016 год»  от 05.12.2016 г. №49
</t>
  </si>
  <si>
    <t>№ 49 от 05.12.2016 г.</t>
  </si>
  <si>
    <t>Наименование главного администратора доходов бюджета</t>
  </si>
  <si>
    <t>Код  главного администратора доходов бюджета</t>
  </si>
  <si>
    <t>Комитет по благоустройству Санкт-Петербурга</t>
  </si>
  <si>
    <t>Местная Администрация МО Черная речка</t>
  </si>
  <si>
    <t>Социальное обеспечение и иные выплаты населению</t>
  </si>
  <si>
    <t>Перечень главных администраторов доходов бюджета внутригородского муниципального образования Санкт-Петербурга Муниципальный окуруг Черная речка на 2016 год</t>
  </si>
  <si>
    <t>Администрация Приморского района Санкт-Петербурга</t>
  </si>
  <si>
    <t>Государственная административно-техническая инспекция Санкт-Петербурга</t>
  </si>
  <si>
    <t>Расходы</t>
  </si>
  <si>
    <t>Наименование статьи расходов</t>
  </si>
  <si>
    <t>1102</t>
  </si>
  <si>
    <t>Итого по расходам</t>
  </si>
  <si>
    <t>Главный бухгалтер - руководитель отдела бухгалтерского учета и отчетности</t>
  </si>
  <si>
    <t>Суслова Е.Л.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</si>
  <si>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2017 ГОД</t>
  </si>
  <si>
    <t>Код администратора источника внутреннего финансирования дефицита бюджета</t>
  </si>
  <si>
    <t>Расходы на выплаты персоналу казенных учреждений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</si>
</sst>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64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11"/>
      <color indexed="8"/>
      <name val="Times New Roman"/>
      <family val="1"/>
    </font>
    <font>
      <b/>
      <i/>
      <sz val="8"/>
      <color indexed="60"/>
      <name val="Times New Roman"/>
      <family val="1"/>
    </font>
    <font>
      <sz val="8"/>
      <color indexed="8"/>
      <name val="Times New Roman"/>
      <family val="1"/>
    </font>
    <font>
      <sz val="10"/>
      <color indexed="60"/>
      <name val="Arial Cyr"/>
      <family val="0"/>
    </font>
    <font>
      <sz val="8"/>
      <color indexed="10"/>
      <name val="Times New Roman"/>
      <family val="1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sz val="11"/>
      <color theme="1"/>
      <name val="Times New Roman"/>
      <family val="1"/>
    </font>
    <font>
      <b/>
      <i/>
      <sz val="8"/>
      <color rgb="FFC00000"/>
      <name val="Times New Roman"/>
      <family val="1"/>
    </font>
    <font>
      <sz val="8"/>
      <color theme="1"/>
      <name val="Times New Roman"/>
      <family val="1"/>
    </font>
    <font>
      <sz val="10"/>
      <color rgb="FFC00000"/>
      <name val="Arial Cyr"/>
      <family val="0"/>
    </font>
    <font>
      <sz val="8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/>
    </border>
    <border>
      <left/>
      <right style="medium"/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/>
      <top style="medium"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20" xfId="0" applyNumberFormat="1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wrapText="1"/>
    </xf>
    <xf numFmtId="49" fontId="4" fillId="12" borderId="21" xfId="0" applyNumberFormat="1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left" vertical="center" wrapText="1"/>
    </xf>
    <xf numFmtId="0" fontId="4" fillId="12" borderId="19" xfId="0" applyFont="1" applyFill="1" applyBorder="1" applyAlignment="1">
      <alignment horizontal="center" vertical="center" wrapText="1"/>
    </xf>
    <xf numFmtId="49" fontId="4" fillId="12" borderId="19" xfId="0" applyNumberFormat="1" applyFont="1" applyFill="1" applyBorder="1" applyAlignment="1">
      <alignment horizontal="center" vertical="center" wrapText="1"/>
    </xf>
    <xf numFmtId="176" fontId="4" fillId="12" borderId="22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20" xfId="0" applyNumberFormat="1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20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20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176" fontId="2" fillId="35" borderId="22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right"/>
      <protection/>
    </xf>
    <xf numFmtId="0" fontId="59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53" applyFont="1" applyBorder="1" applyAlignment="1">
      <alignment/>
      <protection/>
    </xf>
    <xf numFmtId="0" fontId="1" fillId="0" borderId="0" xfId="0" applyFont="1" applyBorder="1" applyAlignment="1">
      <alignment/>
    </xf>
    <xf numFmtId="176" fontId="4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176" fontId="2" fillId="35" borderId="25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left" vertical="center" wrapText="1"/>
    </xf>
    <xf numFmtId="49" fontId="4" fillId="12" borderId="27" xfId="0" applyNumberFormat="1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176" fontId="4" fillId="12" borderId="28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176" fontId="13" fillId="36" borderId="20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176" fontId="60" fillId="36" borderId="2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11" fillId="0" borderId="29" xfId="53" applyFont="1" applyBorder="1" applyAlignment="1">
      <alignment horizontal="center" wrapText="1"/>
      <protection/>
    </xf>
    <xf numFmtId="0" fontId="11" fillId="0" borderId="29" xfId="53" applyFont="1" applyBorder="1" applyAlignment="1">
      <alignment wrapText="1"/>
      <protection/>
    </xf>
    <xf numFmtId="0" fontId="11" fillId="0" borderId="30" xfId="53" applyFont="1" applyBorder="1" applyAlignment="1">
      <alignment horizontal="center" wrapText="1"/>
      <protection/>
    </xf>
    <xf numFmtId="0" fontId="1" fillId="0" borderId="31" xfId="53" applyFont="1" applyBorder="1" applyAlignment="1">
      <alignment horizontal="center" wrapText="1"/>
      <protection/>
    </xf>
    <xf numFmtId="0" fontId="1" fillId="0" borderId="31" xfId="53" applyFont="1" applyBorder="1" applyAlignment="1">
      <alignment horizontal="left" wrapText="1"/>
      <protection/>
    </xf>
    <xf numFmtId="0" fontId="1" fillId="0" borderId="31" xfId="53" applyFont="1" applyBorder="1" applyAlignment="1">
      <alignment wrapText="1"/>
      <protection/>
    </xf>
    <xf numFmtId="0" fontId="1" fillId="0" borderId="32" xfId="53" applyFont="1" applyBorder="1" applyAlignment="1">
      <alignment horizontal="center" wrapText="1"/>
      <protection/>
    </xf>
    <xf numFmtId="0" fontId="5" fillId="37" borderId="33" xfId="53" applyFont="1" applyFill="1" applyBorder="1" applyAlignment="1">
      <alignment horizontal="center" wrapText="1"/>
      <protection/>
    </xf>
    <xf numFmtId="0" fontId="5" fillId="37" borderId="31" xfId="53" applyFont="1" applyFill="1" applyBorder="1" applyAlignment="1">
      <alignment horizontal="left" wrapText="1"/>
      <protection/>
    </xf>
    <xf numFmtId="0" fontId="5" fillId="37" borderId="31" xfId="53" applyFont="1" applyFill="1" applyBorder="1" applyAlignment="1">
      <alignment wrapText="1"/>
      <protection/>
    </xf>
    <xf numFmtId="0" fontId="5" fillId="37" borderId="34" xfId="53" applyFont="1" applyFill="1" applyBorder="1" applyAlignment="1">
      <alignment horizontal="center" wrapText="1"/>
      <protection/>
    </xf>
    <xf numFmtId="0" fontId="1" fillId="0" borderId="35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5" fillId="0" borderId="34" xfId="53" applyFont="1" applyBorder="1" applyAlignment="1">
      <alignment horizontal="center" wrapText="1"/>
      <protection/>
    </xf>
    <xf numFmtId="0" fontId="1" fillId="0" borderId="34" xfId="53" applyFont="1" applyBorder="1" applyAlignment="1">
      <alignment horizontal="center" wrapText="1"/>
      <protection/>
    </xf>
    <xf numFmtId="0" fontId="1" fillId="0" borderId="36" xfId="53" applyFont="1" applyBorder="1" applyAlignment="1">
      <alignment horizontal="center" wrapText="1"/>
      <protection/>
    </xf>
    <xf numFmtId="0" fontId="1" fillId="0" borderId="37" xfId="53" applyFont="1" applyBorder="1" applyAlignment="1">
      <alignment horizontal="left" wrapText="1"/>
      <protection/>
    </xf>
    <xf numFmtId="0" fontId="1" fillId="0" borderId="37" xfId="53" applyFont="1" applyBorder="1" applyAlignment="1">
      <alignment wrapText="1"/>
      <protection/>
    </xf>
    <xf numFmtId="0" fontId="1" fillId="0" borderId="38" xfId="53" applyFont="1" applyBorder="1" applyAlignment="1">
      <alignment horizontal="center" wrapText="1"/>
      <protection/>
    </xf>
    <xf numFmtId="176" fontId="1" fillId="34" borderId="39" xfId="53" applyNumberFormat="1" applyFont="1" applyFill="1" applyBorder="1" applyAlignment="1">
      <alignment horizontal="center" wrapText="1"/>
      <protection/>
    </xf>
    <xf numFmtId="0" fontId="1" fillId="34" borderId="39" xfId="53" applyFont="1" applyFill="1" applyBorder="1" applyAlignment="1">
      <alignment horizontal="left" wrapText="1"/>
      <protection/>
    </xf>
    <xf numFmtId="0" fontId="1" fillId="34" borderId="39" xfId="53" applyFont="1" applyFill="1" applyBorder="1" applyAlignment="1">
      <alignment wrapText="1"/>
      <protection/>
    </xf>
    <xf numFmtId="0" fontId="1" fillId="34" borderId="32" xfId="53" applyFont="1" applyFill="1" applyBorder="1" applyAlignment="1">
      <alignment horizontal="center" wrapText="1"/>
      <protection/>
    </xf>
    <xf numFmtId="0" fontId="5" fillId="38" borderId="31" xfId="53" applyFont="1" applyFill="1" applyBorder="1" applyAlignment="1">
      <alignment horizontal="center" wrapText="1"/>
      <protection/>
    </xf>
    <xf numFmtId="0" fontId="5" fillId="38" borderId="31" xfId="53" applyFont="1" applyFill="1" applyBorder="1" applyAlignment="1">
      <alignment horizontal="left" wrapText="1"/>
      <protection/>
    </xf>
    <xf numFmtId="0" fontId="5" fillId="38" borderId="31" xfId="53" applyFont="1" applyFill="1" applyBorder="1" applyAlignment="1">
      <alignment wrapText="1"/>
      <protection/>
    </xf>
    <xf numFmtId="0" fontId="5" fillId="38" borderId="35" xfId="53" applyFont="1" applyFill="1" applyBorder="1" applyAlignment="1">
      <alignment horizontal="center" wrapText="1"/>
      <protection/>
    </xf>
    <xf numFmtId="0" fontId="5" fillId="3" borderId="31" xfId="53" applyFont="1" applyFill="1" applyBorder="1" applyAlignment="1">
      <alignment horizontal="center" wrapText="1"/>
      <protection/>
    </xf>
    <xf numFmtId="0" fontId="5" fillId="3" borderId="31" xfId="53" applyFont="1" applyFill="1" applyBorder="1" applyAlignment="1">
      <alignment horizontal="left" wrapText="1"/>
      <protection/>
    </xf>
    <xf numFmtId="0" fontId="5" fillId="3" borderId="31" xfId="53" applyFont="1" applyFill="1" applyBorder="1" applyAlignment="1">
      <alignment wrapText="1"/>
      <protection/>
    </xf>
    <xf numFmtId="0" fontId="5" fillId="3" borderId="35" xfId="53" applyFont="1" applyFill="1" applyBorder="1" applyAlignment="1">
      <alignment horizontal="center" wrapText="1"/>
      <protection/>
    </xf>
    <xf numFmtId="0" fontId="5" fillId="39" borderId="40" xfId="53" applyFont="1" applyFill="1" applyBorder="1" applyAlignment="1">
      <alignment horizontal="center" wrapText="1"/>
      <protection/>
    </xf>
    <xf numFmtId="0" fontId="5" fillId="39" borderId="40" xfId="53" applyFont="1" applyFill="1" applyBorder="1" applyAlignment="1">
      <alignment horizontal="left" wrapText="1"/>
      <protection/>
    </xf>
    <xf numFmtId="0" fontId="5" fillId="39" borderId="40" xfId="53" applyFont="1" applyFill="1" applyBorder="1" applyAlignment="1">
      <alignment wrapText="1"/>
      <protection/>
    </xf>
    <xf numFmtId="0" fontId="5" fillId="39" borderId="41" xfId="53" applyFont="1" applyFill="1" applyBorder="1" applyAlignment="1">
      <alignment horizontal="center" wrapText="1"/>
      <protection/>
    </xf>
    <xf numFmtId="0" fontId="1" fillId="0" borderId="39" xfId="53" applyFont="1" applyBorder="1" applyAlignment="1">
      <alignment horizontal="center" wrapText="1"/>
      <protection/>
    </xf>
    <xf numFmtId="0" fontId="1" fillId="0" borderId="39" xfId="42" applyFont="1" applyBorder="1" applyAlignment="1" applyProtection="1">
      <alignment horizontal="left" wrapText="1"/>
      <protection/>
    </xf>
    <xf numFmtId="0" fontId="1" fillId="0" borderId="39" xfId="53" applyFont="1" applyBorder="1" applyAlignment="1">
      <alignment wrapText="1"/>
      <protection/>
    </xf>
    <xf numFmtId="176" fontId="1" fillId="0" borderId="33" xfId="53" applyNumberFormat="1" applyFont="1" applyBorder="1" applyAlignment="1">
      <alignment horizontal="center" wrapText="1"/>
      <protection/>
    </xf>
    <xf numFmtId="0" fontId="1" fillId="0" borderId="31" xfId="42" applyFont="1" applyBorder="1" applyAlignment="1" applyProtection="1">
      <alignment horizontal="left" wrapText="1"/>
      <protection/>
    </xf>
    <xf numFmtId="0" fontId="5" fillId="3" borderId="33" xfId="53" applyFont="1" applyFill="1" applyBorder="1" applyAlignment="1">
      <alignment horizontal="center" wrapText="1"/>
      <protection/>
    </xf>
    <xf numFmtId="0" fontId="5" fillId="3" borderId="34" xfId="53" applyFont="1" applyFill="1" applyBorder="1" applyAlignment="1">
      <alignment horizontal="center" wrapText="1"/>
      <protection/>
    </xf>
    <xf numFmtId="0" fontId="5" fillId="39" borderId="31" xfId="53" applyFont="1" applyFill="1" applyBorder="1" applyAlignment="1">
      <alignment horizontal="center" wrapText="1"/>
      <protection/>
    </xf>
    <xf numFmtId="0" fontId="5" fillId="39" borderId="31" xfId="53" applyFont="1" applyFill="1" applyBorder="1" applyAlignment="1">
      <alignment horizontal="left" wrapText="1"/>
      <protection/>
    </xf>
    <xf numFmtId="0" fontId="5" fillId="39" borderId="31" xfId="53" applyFont="1" applyFill="1" applyBorder="1" applyAlignment="1">
      <alignment wrapText="1"/>
      <protection/>
    </xf>
    <xf numFmtId="0" fontId="5" fillId="39" borderId="35" xfId="53" applyFont="1" applyFill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4" fillId="0" borderId="31" xfId="53" applyFont="1" applyBorder="1" applyAlignment="1">
      <alignment horizontal="left" wrapText="1"/>
      <protection/>
    </xf>
    <xf numFmtId="0" fontId="14" fillId="0" borderId="31" xfId="53" applyFont="1" applyBorder="1" applyAlignment="1">
      <alignment wrapText="1"/>
      <protection/>
    </xf>
    <xf numFmtId="0" fontId="14" fillId="0" borderId="34" xfId="53" applyFont="1" applyBorder="1" applyAlignment="1">
      <alignment horizontal="center" wrapText="1"/>
      <protection/>
    </xf>
    <xf numFmtId="0" fontId="5" fillId="39" borderId="33" xfId="53" applyFont="1" applyFill="1" applyBorder="1" applyAlignment="1">
      <alignment horizontal="center" wrapText="1"/>
      <protection/>
    </xf>
    <xf numFmtId="0" fontId="5" fillId="39" borderId="34" xfId="53" applyFont="1" applyFill="1" applyBorder="1" applyAlignment="1">
      <alignment horizontal="center" wrapText="1"/>
      <protection/>
    </xf>
    <xf numFmtId="0" fontId="14" fillId="0" borderId="31" xfId="53" applyFont="1" applyBorder="1" applyAlignment="1">
      <alignment horizontal="center" wrapText="1"/>
      <protection/>
    </xf>
    <xf numFmtId="0" fontId="14" fillId="0" borderId="35" xfId="53" applyFont="1" applyBorder="1" applyAlignment="1">
      <alignment horizontal="center" wrapText="1"/>
      <protection/>
    </xf>
    <xf numFmtId="0" fontId="14" fillId="0" borderId="29" xfId="53" applyFont="1" applyBorder="1" applyAlignment="1">
      <alignment horizontal="center" wrapText="1"/>
      <protection/>
    </xf>
    <xf numFmtId="0" fontId="14" fillId="0" borderId="29" xfId="53" applyFont="1" applyBorder="1" applyAlignment="1">
      <alignment horizontal="left" wrapText="1"/>
      <protection/>
    </xf>
    <xf numFmtId="0" fontId="14" fillId="0" borderId="29" xfId="53" applyFont="1" applyBorder="1" applyAlignment="1">
      <alignment wrapText="1"/>
      <protection/>
    </xf>
    <xf numFmtId="0" fontId="14" fillId="0" borderId="42" xfId="53" applyFont="1" applyBorder="1" applyAlignment="1">
      <alignment horizontal="center" wrapText="1"/>
      <protection/>
    </xf>
    <xf numFmtId="0" fontId="1" fillId="39" borderId="33" xfId="53" applyFont="1" applyFill="1" applyBorder="1" applyAlignment="1">
      <alignment horizontal="center" wrapText="1"/>
      <protection/>
    </xf>
    <xf numFmtId="0" fontId="1" fillId="0" borderId="39" xfId="53" applyFont="1" applyBorder="1" applyAlignment="1">
      <alignment horizontal="left" wrapText="1"/>
      <protection/>
    </xf>
    <xf numFmtId="14" fontId="1" fillId="0" borderId="32" xfId="53" applyNumberFormat="1" applyFont="1" applyBorder="1" applyAlignment="1">
      <alignment horizontal="center" wrapText="1"/>
      <protection/>
    </xf>
    <xf numFmtId="16" fontId="5" fillId="3" borderId="34" xfId="53" applyNumberFormat="1" applyFont="1" applyFill="1" applyBorder="1" applyAlignment="1">
      <alignment horizontal="center" wrapText="1"/>
      <protection/>
    </xf>
    <xf numFmtId="14" fontId="1" fillId="0" borderId="34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5" fillId="38" borderId="31" xfId="53" applyFont="1" applyFill="1" applyBorder="1" applyAlignment="1">
      <alignment horizontal="center" wrapText="1"/>
      <protection/>
    </xf>
    <xf numFmtId="0" fontId="15" fillId="38" borderId="31" xfId="53" applyFont="1" applyFill="1" applyBorder="1" applyAlignment="1">
      <alignment horizontal="left" wrapText="1"/>
      <protection/>
    </xf>
    <xf numFmtId="0" fontId="2" fillId="0" borderId="31" xfId="53" applyFont="1" applyBorder="1" applyAlignment="1">
      <alignment horizontal="center" wrapText="1"/>
      <protection/>
    </xf>
    <xf numFmtId="0" fontId="2" fillId="0" borderId="43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59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61" fillId="0" borderId="10" xfId="0" applyNumberFormat="1" applyFont="1" applyFill="1" applyBorder="1" applyAlignment="1">
      <alignment horizontal="center" vertical="center" wrapText="1"/>
    </xf>
    <xf numFmtId="176" fontId="61" fillId="0" borderId="11" xfId="0" applyNumberFormat="1" applyFont="1" applyFill="1" applyBorder="1" applyAlignment="1">
      <alignment horizontal="center" vertical="center" wrapText="1"/>
    </xf>
    <xf numFmtId="176" fontId="61" fillId="0" borderId="12" xfId="0" applyNumberFormat="1" applyFont="1" applyFill="1" applyBorder="1" applyAlignment="1">
      <alignment horizontal="center" vertical="center" wrapText="1"/>
    </xf>
    <xf numFmtId="0" fontId="58" fillId="12" borderId="1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176" fontId="61" fillId="0" borderId="44" xfId="0" applyNumberFormat="1" applyFont="1" applyFill="1" applyBorder="1" applyAlignment="1">
      <alignment horizontal="center" vertical="center" wrapText="1"/>
    </xf>
    <xf numFmtId="49" fontId="4" fillId="33" borderId="46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4" fillId="34" borderId="12" xfId="0" applyFont="1" applyFill="1" applyBorder="1" applyAlignment="1">
      <alignment vertical="center" wrapText="1"/>
    </xf>
    <xf numFmtId="49" fontId="13" fillId="36" borderId="21" xfId="0" applyNumberFormat="1" applyFont="1" applyFill="1" applyBorder="1" applyAlignment="1">
      <alignment horizontal="center" vertical="center" wrapText="1"/>
    </xf>
    <xf numFmtId="49" fontId="13" fillId="36" borderId="19" xfId="0" applyNumberFormat="1" applyFont="1" applyFill="1" applyBorder="1" applyAlignment="1">
      <alignment horizontal="left" vertical="center" wrapText="1"/>
    </xf>
    <xf numFmtId="0" fontId="13" fillId="36" borderId="19" xfId="0" applyFont="1" applyFill="1" applyBorder="1" applyAlignment="1">
      <alignment horizontal="center" vertical="center" wrapText="1"/>
    </xf>
    <xf numFmtId="49" fontId="13" fillId="36" borderId="19" xfId="0" applyNumberFormat="1" applyFont="1" applyFill="1" applyBorder="1" applyAlignment="1">
      <alignment horizontal="center" vertical="center" wrapText="1"/>
    </xf>
    <xf numFmtId="176" fontId="13" fillId="36" borderId="22" xfId="0" applyNumberFormat="1" applyFont="1" applyFill="1" applyBorder="1" applyAlignment="1">
      <alignment horizontal="center" vertical="center" wrapText="1"/>
    </xf>
    <xf numFmtId="49" fontId="3" fillId="9" borderId="26" xfId="0" applyNumberFormat="1" applyFont="1" applyFill="1" applyBorder="1" applyAlignment="1">
      <alignment horizontal="center" vertical="center" wrapText="1"/>
    </xf>
    <xf numFmtId="49" fontId="3" fillId="9" borderId="24" xfId="0" applyNumberFormat="1" applyFont="1" applyFill="1" applyBorder="1" applyAlignment="1">
      <alignment horizontal="left" vertical="center" wrapText="1"/>
    </xf>
    <xf numFmtId="0" fontId="3" fillId="9" borderId="24" xfId="0" applyFont="1" applyFill="1" applyBorder="1" applyAlignment="1">
      <alignment horizontal="center" vertical="center" wrapText="1"/>
    </xf>
    <xf numFmtId="49" fontId="3" fillId="9" borderId="24" xfId="0" applyNumberFormat="1" applyFont="1" applyFill="1" applyBorder="1" applyAlignment="1">
      <alignment horizontal="center" vertical="center" wrapText="1"/>
    </xf>
    <xf numFmtId="176" fontId="3" fillId="9" borderId="25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176" fontId="63" fillId="12" borderId="2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5" fillId="40" borderId="47" xfId="0" applyFont="1" applyFill="1" applyBorder="1" applyAlignment="1">
      <alignment horizontal="center" vertical="center" wrapText="1"/>
    </xf>
    <xf numFmtId="0" fontId="15" fillId="40" borderId="48" xfId="0" applyFont="1" applyFill="1" applyBorder="1" applyAlignment="1">
      <alignment horizontal="center" vertical="center" wrapText="1"/>
    </xf>
    <xf numFmtId="0" fontId="10" fillId="40" borderId="33" xfId="0" applyFont="1" applyFill="1" applyBorder="1" applyAlignment="1">
      <alignment vertical="top" wrapText="1"/>
    </xf>
    <xf numFmtId="0" fontId="10" fillId="0" borderId="4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49" fontId="4" fillId="33" borderId="50" xfId="0" applyNumberFormat="1" applyFont="1" applyFill="1" applyBorder="1" applyAlignment="1">
      <alignment horizontal="center" vertical="center" wrapText="1"/>
    </xf>
    <xf numFmtId="176" fontId="4" fillId="34" borderId="12" xfId="0" applyNumberFormat="1" applyFont="1" applyFill="1" applyBorder="1" applyAlignment="1">
      <alignment horizontal="center" vertical="center" wrapText="1"/>
    </xf>
    <xf numFmtId="176" fontId="10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16" fontId="5" fillId="3" borderId="51" xfId="53" applyNumberFormat="1" applyFont="1" applyFill="1" applyBorder="1" applyAlignment="1">
      <alignment horizontal="center" wrapText="1"/>
      <protection/>
    </xf>
    <xf numFmtId="0" fontId="5" fillId="3" borderId="34" xfId="53" applyFont="1" applyFill="1" applyBorder="1" applyAlignment="1">
      <alignment horizontal="center" wrapText="1"/>
      <protection/>
    </xf>
    <xf numFmtId="0" fontId="5" fillId="3" borderId="52" xfId="53" applyFont="1" applyFill="1" applyBorder="1" applyAlignment="1">
      <alignment wrapText="1"/>
      <protection/>
    </xf>
    <xf numFmtId="0" fontId="5" fillId="3" borderId="35" xfId="53" applyFont="1" applyFill="1" applyBorder="1" applyAlignment="1">
      <alignment wrapText="1"/>
      <protection/>
    </xf>
    <xf numFmtId="0" fontId="5" fillId="3" borderId="52" xfId="53" applyFont="1" applyFill="1" applyBorder="1" applyAlignment="1">
      <alignment horizontal="left" wrapText="1"/>
      <protection/>
    </xf>
    <xf numFmtId="0" fontId="5" fillId="3" borderId="35" xfId="53" applyFont="1" applyFill="1" applyBorder="1" applyAlignment="1">
      <alignment horizontal="left" wrapText="1"/>
      <protection/>
    </xf>
    <xf numFmtId="0" fontId="5" fillId="3" borderId="53" xfId="53" applyFont="1" applyFill="1" applyBorder="1" applyAlignment="1">
      <alignment horizontal="center" wrapText="1"/>
      <protection/>
    </xf>
    <xf numFmtId="0" fontId="5" fillId="3" borderId="54" xfId="53" applyFont="1" applyFill="1" applyBorder="1" applyAlignment="1">
      <alignment horizontal="center" wrapText="1"/>
      <protection/>
    </xf>
    <xf numFmtId="0" fontId="14" fillId="0" borderId="51" xfId="53" applyFont="1" applyBorder="1" applyAlignment="1">
      <alignment horizontal="center" wrapText="1"/>
      <protection/>
    </xf>
    <xf numFmtId="0" fontId="14" fillId="0" borderId="34" xfId="53" applyFont="1" applyBorder="1" applyAlignment="1">
      <alignment horizontal="center" wrapText="1"/>
      <protection/>
    </xf>
    <xf numFmtId="0" fontId="14" fillId="0" borderId="52" xfId="53" applyFont="1" applyBorder="1" applyAlignment="1">
      <alignment wrapText="1"/>
      <protection/>
    </xf>
    <xf numFmtId="0" fontId="14" fillId="0" borderId="35" xfId="53" applyFont="1" applyBorder="1" applyAlignment="1">
      <alignment wrapText="1"/>
      <protection/>
    </xf>
    <xf numFmtId="0" fontId="14" fillId="0" borderId="52" xfId="53" applyFont="1" applyBorder="1" applyAlignment="1">
      <alignment horizontal="left" wrapText="1"/>
      <protection/>
    </xf>
    <xf numFmtId="0" fontId="14" fillId="0" borderId="35" xfId="53" applyFont="1" applyBorder="1" applyAlignment="1">
      <alignment horizontal="left" wrapText="1"/>
      <protection/>
    </xf>
    <xf numFmtId="0" fontId="14" fillId="0" borderId="53" xfId="53" applyFont="1" applyBorder="1" applyAlignment="1">
      <alignment horizontal="center" wrapText="1"/>
      <protection/>
    </xf>
    <xf numFmtId="0" fontId="14" fillId="0" borderId="54" xfId="53" applyFont="1" applyBorder="1" applyAlignment="1">
      <alignment horizontal="center" wrapText="1"/>
      <protection/>
    </xf>
    <xf numFmtId="0" fontId="1" fillId="0" borderId="51" xfId="53" applyFont="1" applyBorder="1" applyAlignment="1">
      <alignment horizontal="center" wrapText="1"/>
      <protection/>
    </xf>
    <xf numFmtId="0" fontId="1" fillId="0" borderId="34" xfId="53" applyFont="1" applyBorder="1" applyAlignment="1">
      <alignment horizontal="center" wrapText="1"/>
      <protection/>
    </xf>
    <xf numFmtId="0" fontId="1" fillId="0" borderId="52" xfId="53" applyFont="1" applyBorder="1" applyAlignment="1">
      <alignment wrapText="1"/>
      <protection/>
    </xf>
    <xf numFmtId="0" fontId="1" fillId="0" borderId="35" xfId="53" applyFont="1" applyBorder="1" applyAlignment="1">
      <alignment wrapText="1"/>
      <protection/>
    </xf>
    <xf numFmtId="0" fontId="1" fillId="0" borderId="52" xfId="53" applyFont="1" applyBorder="1" applyAlignment="1">
      <alignment horizontal="left" wrapText="1"/>
      <protection/>
    </xf>
    <xf numFmtId="0" fontId="1" fillId="0" borderId="35" xfId="53" applyFont="1" applyBorder="1" applyAlignment="1">
      <alignment horizontal="left" wrapText="1"/>
      <protection/>
    </xf>
    <xf numFmtId="0" fontId="1" fillId="0" borderId="53" xfId="53" applyFont="1" applyBorder="1" applyAlignment="1">
      <alignment horizontal="center" wrapText="1"/>
      <protection/>
    </xf>
    <xf numFmtId="0" fontId="1" fillId="0" borderId="54" xfId="53" applyFont="1" applyBorder="1" applyAlignment="1">
      <alignment horizontal="center" wrapText="1"/>
      <protection/>
    </xf>
    <xf numFmtId="0" fontId="1" fillId="0" borderId="55" xfId="53" applyFont="1" applyBorder="1" applyAlignment="1">
      <alignment horizontal="center" wrapText="1"/>
      <protection/>
    </xf>
    <xf numFmtId="0" fontId="1" fillId="0" borderId="56" xfId="53" applyFont="1" applyBorder="1" applyAlignment="1">
      <alignment horizontal="center" wrapText="1"/>
      <protection/>
    </xf>
    <xf numFmtId="0" fontId="1" fillId="0" borderId="32" xfId="53" applyFont="1" applyBorder="1" applyAlignment="1">
      <alignment wrapText="1"/>
      <protection/>
    </xf>
    <xf numFmtId="0" fontId="1" fillId="0" borderId="42" xfId="53" applyFont="1" applyBorder="1" applyAlignment="1">
      <alignment wrapText="1"/>
      <protection/>
    </xf>
    <xf numFmtId="0" fontId="1" fillId="0" borderId="32" xfId="53" applyFont="1" applyBorder="1" applyAlignment="1">
      <alignment horizontal="left" wrapText="1"/>
      <protection/>
    </xf>
    <xf numFmtId="0" fontId="1" fillId="0" borderId="42" xfId="53" applyFont="1" applyBorder="1" applyAlignment="1">
      <alignment horizontal="left" wrapText="1"/>
      <protection/>
    </xf>
    <xf numFmtId="0" fontId="1" fillId="0" borderId="52" xfId="53" applyFont="1" applyBorder="1" applyAlignment="1">
      <alignment horizontal="center" wrapText="1"/>
      <protection/>
    </xf>
    <xf numFmtId="0" fontId="1" fillId="0" borderId="32" xfId="53" applyFont="1" applyBorder="1" applyAlignment="1">
      <alignment horizontal="center" wrapText="1"/>
      <protection/>
    </xf>
    <xf numFmtId="0" fontId="1" fillId="0" borderId="42" xfId="53" applyFont="1" applyBorder="1" applyAlignment="1">
      <alignment horizontal="center" wrapText="1"/>
      <protection/>
    </xf>
    <xf numFmtId="0" fontId="2" fillId="0" borderId="57" xfId="53" applyFont="1" applyBorder="1" applyAlignment="1">
      <alignment horizontal="center" wrapText="1"/>
      <protection/>
    </xf>
    <xf numFmtId="0" fontId="2" fillId="0" borderId="35" xfId="53" applyFont="1" applyBorder="1" applyAlignment="1">
      <alignment horizontal="center" wrapText="1"/>
      <protection/>
    </xf>
    <xf numFmtId="0" fontId="5" fillId="3" borderId="51" xfId="53" applyFont="1" applyFill="1" applyBorder="1" applyAlignment="1">
      <alignment horizontal="center" wrapText="1"/>
      <protection/>
    </xf>
    <xf numFmtId="0" fontId="15" fillId="40" borderId="58" xfId="0" applyFont="1" applyFill="1" applyBorder="1" applyAlignment="1">
      <alignment horizontal="center" vertical="center" wrapText="1"/>
    </xf>
    <xf numFmtId="0" fontId="15" fillId="40" borderId="59" xfId="0" applyFont="1" applyFill="1" applyBorder="1" applyAlignment="1">
      <alignment horizontal="center" vertical="center" wrapText="1"/>
    </xf>
    <xf numFmtId="0" fontId="15" fillId="40" borderId="4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5" fillId="40" borderId="58" xfId="0" applyFont="1" applyFill="1" applyBorder="1" applyAlignment="1">
      <alignment horizontal="center" vertical="center" wrapText="1"/>
    </xf>
    <xf numFmtId="0" fontId="5" fillId="40" borderId="59" xfId="0" applyFont="1" applyFill="1" applyBorder="1" applyAlignment="1">
      <alignment horizontal="center" vertical="center" wrapText="1"/>
    </xf>
    <xf numFmtId="0" fontId="5" fillId="40" borderId="4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6" fillId="0" borderId="60" xfId="0" applyFont="1" applyBorder="1" applyAlignment="1">
      <alignment horizontal="right" vertical="center"/>
    </xf>
    <xf numFmtId="0" fontId="16" fillId="0" borderId="61" xfId="0" applyFont="1" applyBorder="1" applyAlignment="1">
      <alignment horizontal="right" vertical="center"/>
    </xf>
    <xf numFmtId="0" fontId="16" fillId="0" borderId="5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6</xdr:col>
      <xdr:colOff>38100</xdr:colOff>
      <xdr:row>9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247650"/>
          <a:ext cx="736282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Решением Муниципального Совета № 49 от 05.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2.2016 «О внесении изменений и дополнений в Решение Муниципального Совета Муниципальный округ Черная речка № 31 от 23.11.2015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«Об утверждении местного бюджета МО Черная речка на 2016 год» внесены следжующие изменения: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6.50390625" style="123" customWidth="1"/>
    <col min="2" max="2" width="28.50390625" style="123" customWidth="1"/>
    <col min="3" max="3" width="54.50390625" style="123" customWidth="1"/>
    <col min="4" max="4" width="24.50390625" style="123" customWidth="1"/>
  </cols>
  <sheetData>
    <row r="1" ht="13.5">
      <c r="D1" s="121" t="s">
        <v>420</v>
      </c>
    </row>
    <row r="2" ht="13.5">
      <c r="D2" s="121" t="s">
        <v>234</v>
      </c>
    </row>
    <row r="3" ht="13.5">
      <c r="D3" s="121" t="s">
        <v>235</v>
      </c>
    </row>
    <row r="4" spans="2:4" ht="13.5">
      <c r="B4" s="235"/>
      <c r="D4" s="121" t="s">
        <v>197</v>
      </c>
    </row>
    <row r="5" spans="2:4" ht="13.5">
      <c r="B5" s="234"/>
      <c r="D5" s="233" t="s">
        <v>461</v>
      </c>
    </row>
    <row r="6" ht="12.75">
      <c r="C6" s="232"/>
    </row>
    <row r="7" ht="12.75">
      <c r="C7" s="231" t="s">
        <v>419</v>
      </c>
    </row>
    <row r="8" ht="12.75">
      <c r="C8" s="231" t="s">
        <v>236</v>
      </c>
    </row>
    <row r="9" ht="12.75">
      <c r="C9" s="231" t="s">
        <v>263</v>
      </c>
    </row>
    <row r="10" ht="13.5" thickBot="1"/>
    <row r="11" spans="1:4" ht="12.75">
      <c r="A11" s="328" t="s">
        <v>418</v>
      </c>
      <c r="B11" s="328" t="s">
        <v>417</v>
      </c>
      <c r="C11" s="328" t="s">
        <v>416</v>
      </c>
      <c r="D11" s="230" t="s">
        <v>415</v>
      </c>
    </row>
    <row r="12" spans="1:4" ht="13.5" thickBot="1">
      <c r="A12" s="329"/>
      <c r="B12" s="329"/>
      <c r="C12" s="329"/>
      <c r="D12" s="229" t="s">
        <v>414</v>
      </c>
    </row>
    <row r="13" spans="1:4" ht="34.5" customHeight="1" thickBot="1">
      <c r="A13" s="227" t="s">
        <v>413</v>
      </c>
      <c r="B13" s="228" t="s">
        <v>412</v>
      </c>
      <c r="C13" s="228" t="s">
        <v>411</v>
      </c>
      <c r="D13" s="227">
        <f>D14+D29+D32+D35+D51+D59+D69+D45</f>
        <v>86432.4</v>
      </c>
    </row>
    <row r="14" spans="1:4" ht="19.5" customHeight="1" thickBot="1">
      <c r="A14" s="214" t="s">
        <v>0</v>
      </c>
      <c r="B14" s="207" t="s">
        <v>410</v>
      </c>
      <c r="C14" s="207" t="s">
        <v>409</v>
      </c>
      <c r="D14" s="213">
        <f>D15+D23+D26</f>
        <v>49831</v>
      </c>
    </row>
    <row r="15" spans="1:4" s="226" customFormat="1" ht="27" thickBot="1">
      <c r="A15" s="193" t="s">
        <v>2</v>
      </c>
      <c r="B15" s="192" t="s">
        <v>408</v>
      </c>
      <c r="C15" s="191" t="s">
        <v>407</v>
      </c>
      <c r="D15" s="190">
        <f>D16+D19+D22</f>
        <v>30493.9</v>
      </c>
    </row>
    <row r="16" spans="1:4" ht="27" thickBot="1">
      <c r="A16" s="177" t="s">
        <v>4</v>
      </c>
      <c r="B16" s="211" t="s">
        <v>406</v>
      </c>
      <c r="C16" s="210" t="s">
        <v>404</v>
      </c>
      <c r="D16" s="209">
        <f>D17</f>
        <v>21279.9</v>
      </c>
    </row>
    <row r="17" spans="1:4" ht="27" thickBot="1">
      <c r="A17" s="177"/>
      <c r="B17" s="168" t="s">
        <v>405</v>
      </c>
      <c r="C17" s="167" t="s">
        <v>404</v>
      </c>
      <c r="D17" s="175">
        <v>21279.9</v>
      </c>
    </row>
    <row r="18" spans="1:4" ht="39.75" thickBot="1">
      <c r="A18" s="177"/>
      <c r="B18" s="168" t="s">
        <v>403</v>
      </c>
      <c r="C18" s="167" t="s">
        <v>402</v>
      </c>
      <c r="D18" s="175">
        <v>0</v>
      </c>
    </row>
    <row r="19" spans="1:4" ht="39.75" thickBot="1">
      <c r="A19" s="225" t="s">
        <v>401</v>
      </c>
      <c r="B19" s="211" t="s">
        <v>400</v>
      </c>
      <c r="C19" s="210" t="s">
        <v>398</v>
      </c>
      <c r="D19" s="209">
        <f>SUM(D20:D21)</f>
        <v>5898.3</v>
      </c>
    </row>
    <row r="20" spans="1:4" ht="39.75" thickBot="1">
      <c r="A20" s="177"/>
      <c r="B20" s="168" t="s">
        <v>399</v>
      </c>
      <c r="C20" s="167" t="s">
        <v>398</v>
      </c>
      <c r="D20" s="175">
        <v>5898.3</v>
      </c>
    </row>
    <row r="21" spans="1:4" ht="45" customHeight="1" thickBot="1">
      <c r="A21" s="177"/>
      <c r="B21" s="168" t="s">
        <v>397</v>
      </c>
      <c r="C21" s="167" t="s">
        <v>396</v>
      </c>
      <c r="D21" s="175">
        <v>0</v>
      </c>
    </row>
    <row r="22" spans="1:4" ht="27" thickBot="1">
      <c r="A22" s="174" t="s">
        <v>395</v>
      </c>
      <c r="B22" s="211" t="s">
        <v>394</v>
      </c>
      <c r="C22" s="210" t="s">
        <v>393</v>
      </c>
      <c r="D22" s="215">
        <v>3315.7</v>
      </c>
    </row>
    <row r="23" spans="1:4" ht="27" thickBot="1">
      <c r="A23" s="224" t="s">
        <v>7</v>
      </c>
      <c r="B23" s="192" t="s">
        <v>392</v>
      </c>
      <c r="C23" s="191" t="s">
        <v>390</v>
      </c>
      <c r="D23" s="203">
        <f>D24</f>
        <v>17567.5</v>
      </c>
    </row>
    <row r="24" spans="1:4" ht="27" thickBot="1">
      <c r="A24" s="223"/>
      <c r="B24" s="200" t="s">
        <v>391</v>
      </c>
      <c r="C24" s="222" t="s">
        <v>390</v>
      </c>
      <c r="D24" s="198">
        <v>17567.5</v>
      </c>
    </row>
    <row r="25" spans="1:4" ht="39.75" thickBot="1">
      <c r="A25" s="181"/>
      <c r="B25" s="180" t="s">
        <v>389</v>
      </c>
      <c r="C25" s="179" t="s">
        <v>388</v>
      </c>
      <c r="D25" s="178">
        <v>0</v>
      </c>
    </row>
    <row r="26" spans="1:4" ht="12.75">
      <c r="A26" s="330" t="s">
        <v>387</v>
      </c>
      <c r="B26" s="297" t="s">
        <v>386</v>
      </c>
      <c r="C26" s="299" t="s">
        <v>385</v>
      </c>
      <c r="D26" s="301">
        <f>D28</f>
        <v>1769.6</v>
      </c>
    </row>
    <row r="27" spans="1:4" ht="13.5" thickBot="1">
      <c r="A27" s="296"/>
      <c r="B27" s="298"/>
      <c r="C27" s="300"/>
      <c r="D27" s="302"/>
    </row>
    <row r="28" spans="1:4" ht="39.75" thickBot="1">
      <c r="A28" s="177"/>
      <c r="B28" s="168" t="s">
        <v>384</v>
      </c>
      <c r="C28" s="167" t="s">
        <v>383</v>
      </c>
      <c r="D28" s="175">
        <v>1769.6</v>
      </c>
    </row>
    <row r="29" spans="1:4" ht="13.5" thickBot="1">
      <c r="A29" s="214" t="s">
        <v>224</v>
      </c>
      <c r="B29" s="207" t="s">
        <v>382</v>
      </c>
      <c r="C29" s="206" t="s">
        <v>381</v>
      </c>
      <c r="D29" s="221">
        <f>D30</f>
        <v>30294.7</v>
      </c>
    </row>
    <row r="30" spans="1:4" ht="13.5" thickBot="1">
      <c r="A30" s="193" t="s">
        <v>15</v>
      </c>
      <c r="B30" s="192" t="s">
        <v>380</v>
      </c>
      <c r="C30" s="191" t="s">
        <v>379</v>
      </c>
      <c r="D30" s="190">
        <f>D31</f>
        <v>30294.7</v>
      </c>
    </row>
    <row r="31" spans="1:4" ht="53.25" thickBot="1">
      <c r="A31" s="177"/>
      <c r="B31" s="168" t="s">
        <v>378</v>
      </c>
      <c r="C31" s="167" t="s">
        <v>377</v>
      </c>
      <c r="D31" s="175">
        <v>30294.7</v>
      </c>
    </row>
    <row r="32" spans="1:4" ht="39.75" thickBot="1">
      <c r="A32" s="214" t="s">
        <v>43</v>
      </c>
      <c r="B32" s="207" t="s">
        <v>376</v>
      </c>
      <c r="C32" s="206" t="s">
        <v>375</v>
      </c>
      <c r="D32" s="213">
        <v>0</v>
      </c>
    </row>
    <row r="33" spans="1:4" ht="13.5" thickBot="1">
      <c r="A33" s="220" t="s">
        <v>45</v>
      </c>
      <c r="B33" s="219" t="s">
        <v>374</v>
      </c>
      <c r="C33" s="218" t="s">
        <v>373</v>
      </c>
      <c r="D33" s="217">
        <v>0</v>
      </c>
    </row>
    <row r="34" spans="1:4" ht="27" thickBot="1">
      <c r="A34" s="174"/>
      <c r="B34" s="168" t="s">
        <v>372</v>
      </c>
      <c r="C34" s="167" t="s">
        <v>371</v>
      </c>
      <c r="D34" s="166">
        <v>0</v>
      </c>
    </row>
    <row r="35" spans="1:4" ht="39.75" thickBot="1">
      <c r="A35" s="214" t="s">
        <v>370</v>
      </c>
      <c r="B35" s="207" t="s">
        <v>369</v>
      </c>
      <c r="C35" s="206" t="s">
        <v>368</v>
      </c>
      <c r="D35" s="213">
        <v>0</v>
      </c>
    </row>
    <row r="36" spans="1:4" ht="13.5" thickBot="1">
      <c r="A36" s="216" t="s">
        <v>135</v>
      </c>
      <c r="B36" s="211" t="s">
        <v>367</v>
      </c>
      <c r="C36" s="210" t="s">
        <v>366</v>
      </c>
      <c r="D36" s="215">
        <v>0</v>
      </c>
    </row>
    <row r="37" spans="1:4" ht="39.75" thickBot="1">
      <c r="A37" s="177"/>
      <c r="B37" s="168" t="s">
        <v>365</v>
      </c>
      <c r="C37" s="167" t="s">
        <v>364</v>
      </c>
      <c r="D37" s="175">
        <v>0</v>
      </c>
    </row>
    <row r="38" spans="1:4" ht="27" thickBot="1">
      <c r="A38" s="212" t="s">
        <v>363</v>
      </c>
      <c r="B38" s="211" t="s">
        <v>362</v>
      </c>
      <c r="C38" s="210" t="s">
        <v>361</v>
      </c>
      <c r="D38" s="209">
        <v>0</v>
      </c>
    </row>
    <row r="39" spans="1:4" ht="39.75" customHeight="1" thickBot="1">
      <c r="A39" s="177"/>
      <c r="B39" s="168" t="s">
        <v>360</v>
      </c>
      <c r="C39" s="167" t="s">
        <v>359</v>
      </c>
      <c r="D39" s="175">
        <v>0</v>
      </c>
    </row>
    <row r="40" spans="1:4" ht="90" customHeight="1" thickBot="1">
      <c r="A40" s="212" t="s">
        <v>358</v>
      </c>
      <c r="B40" s="211" t="s">
        <v>357</v>
      </c>
      <c r="C40" s="210" t="s">
        <v>356</v>
      </c>
      <c r="D40" s="209">
        <v>0</v>
      </c>
    </row>
    <row r="41" spans="1:4" ht="66" customHeight="1" thickBot="1">
      <c r="A41" s="177"/>
      <c r="B41" s="168" t="s">
        <v>355</v>
      </c>
      <c r="C41" s="167" t="s">
        <v>354</v>
      </c>
      <c r="D41" s="175">
        <v>0</v>
      </c>
    </row>
    <row r="42" spans="1:4" ht="66" customHeight="1" thickBot="1">
      <c r="A42" s="177"/>
      <c r="B42" s="168" t="s">
        <v>353</v>
      </c>
      <c r="C42" s="167" t="s">
        <v>352</v>
      </c>
      <c r="D42" s="175">
        <v>0</v>
      </c>
    </row>
    <row r="43" spans="1:4" ht="39.75" thickBot="1">
      <c r="A43" s="212" t="s">
        <v>351</v>
      </c>
      <c r="B43" s="211" t="s">
        <v>350</v>
      </c>
      <c r="C43" s="210" t="s">
        <v>349</v>
      </c>
      <c r="D43" s="209">
        <v>0</v>
      </c>
    </row>
    <row r="44" spans="1:4" ht="54" customHeight="1" thickBot="1">
      <c r="A44" s="177"/>
      <c r="B44" s="168" t="s">
        <v>348</v>
      </c>
      <c r="C44" s="167" t="s">
        <v>347</v>
      </c>
      <c r="D44" s="175">
        <v>0</v>
      </c>
    </row>
    <row r="45" spans="1:4" ht="27" thickBot="1">
      <c r="A45" s="214" t="s">
        <v>346</v>
      </c>
      <c r="B45" s="207" t="s">
        <v>345</v>
      </c>
      <c r="C45" s="206" t="s">
        <v>344</v>
      </c>
      <c r="D45" s="213">
        <f>D46</f>
        <v>1500</v>
      </c>
    </row>
    <row r="46" spans="1:4" ht="13.5" thickBot="1">
      <c r="A46" s="216" t="s">
        <v>166</v>
      </c>
      <c r="B46" s="211" t="s">
        <v>343</v>
      </c>
      <c r="C46" s="210" t="s">
        <v>342</v>
      </c>
      <c r="D46" s="215">
        <f>D47</f>
        <v>1500</v>
      </c>
    </row>
    <row r="47" spans="1:4" ht="12.75">
      <c r="A47" s="311" t="s">
        <v>51</v>
      </c>
      <c r="B47" s="313" t="s">
        <v>341</v>
      </c>
      <c r="C47" s="315" t="s">
        <v>340</v>
      </c>
      <c r="D47" s="317">
        <f>SUM(D49:D50)</f>
        <v>1500</v>
      </c>
    </row>
    <row r="48" spans="1:4" ht="13.5" thickBot="1">
      <c r="A48" s="312"/>
      <c r="B48" s="314"/>
      <c r="C48" s="316"/>
      <c r="D48" s="318"/>
    </row>
    <row r="49" spans="1:4" ht="66" thickBot="1">
      <c r="A49" s="177"/>
      <c r="B49" s="168" t="s">
        <v>339</v>
      </c>
      <c r="C49" s="167" t="s">
        <v>338</v>
      </c>
      <c r="D49" s="175">
        <v>1500</v>
      </c>
    </row>
    <row r="50" spans="1:4" ht="28.5" customHeight="1" thickBot="1">
      <c r="A50" s="177"/>
      <c r="B50" s="168" t="s">
        <v>337</v>
      </c>
      <c r="C50" s="167" t="s">
        <v>336</v>
      </c>
      <c r="D50" s="175">
        <v>0</v>
      </c>
    </row>
    <row r="51" spans="1:4" ht="27" thickBot="1">
      <c r="A51" s="214" t="s">
        <v>335</v>
      </c>
      <c r="B51" s="207" t="s">
        <v>334</v>
      </c>
      <c r="C51" s="206" t="s">
        <v>333</v>
      </c>
      <c r="D51" s="213">
        <v>0</v>
      </c>
    </row>
    <row r="52" spans="1:4" ht="27" thickBot="1">
      <c r="A52" s="212" t="s">
        <v>54</v>
      </c>
      <c r="B52" s="211" t="s">
        <v>332</v>
      </c>
      <c r="C52" s="210" t="s">
        <v>331</v>
      </c>
      <c r="D52" s="209">
        <v>0</v>
      </c>
    </row>
    <row r="53" spans="1:4" ht="12.75">
      <c r="A53" s="311" t="s">
        <v>56</v>
      </c>
      <c r="B53" s="313" t="s">
        <v>330</v>
      </c>
      <c r="C53" s="315" t="s">
        <v>329</v>
      </c>
      <c r="D53" s="325">
        <v>0</v>
      </c>
    </row>
    <row r="54" spans="1:4" ht="12.75">
      <c r="A54" s="319"/>
      <c r="B54" s="321"/>
      <c r="C54" s="323"/>
      <c r="D54" s="326"/>
    </row>
    <row r="55" spans="1:4" ht="13.5" thickBot="1">
      <c r="A55" s="320"/>
      <c r="B55" s="322"/>
      <c r="C55" s="324"/>
      <c r="D55" s="327"/>
    </row>
    <row r="56" spans="1:4" ht="84" customHeight="1" thickBot="1">
      <c r="A56" s="177"/>
      <c r="B56" s="168" t="s">
        <v>328</v>
      </c>
      <c r="C56" s="167" t="s">
        <v>327</v>
      </c>
      <c r="D56" s="175">
        <v>0</v>
      </c>
    </row>
    <row r="57" spans="1:4" ht="93.75" customHeight="1" thickBot="1">
      <c r="A57" s="174" t="s">
        <v>149</v>
      </c>
      <c r="B57" s="168" t="s">
        <v>326</v>
      </c>
      <c r="C57" s="167" t="s">
        <v>325</v>
      </c>
      <c r="D57" s="166">
        <v>0</v>
      </c>
    </row>
    <row r="58" spans="1:4" ht="85.5" customHeight="1" thickBot="1">
      <c r="A58" s="177"/>
      <c r="B58" s="168" t="s">
        <v>324</v>
      </c>
      <c r="C58" s="167" t="s">
        <v>323</v>
      </c>
      <c r="D58" s="175">
        <v>0</v>
      </c>
    </row>
    <row r="59" spans="1:4" ht="13.5" thickBot="1">
      <c r="A59" s="208" t="s">
        <v>322</v>
      </c>
      <c r="B59" s="207" t="s">
        <v>321</v>
      </c>
      <c r="C59" s="206" t="s">
        <v>320</v>
      </c>
      <c r="D59" s="205">
        <f>D60+D62</f>
        <v>4806.7</v>
      </c>
    </row>
    <row r="60" spans="1:4" ht="12.75">
      <c r="A60" s="295" t="s">
        <v>59</v>
      </c>
      <c r="B60" s="297" t="s">
        <v>319</v>
      </c>
      <c r="C60" s="299" t="s">
        <v>318</v>
      </c>
      <c r="D60" s="301">
        <v>477.3</v>
      </c>
    </row>
    <row r="61" spans="1:4" ht="13.5" thickBot="1">
      <c r="A61" s="296"/>
      <c r="B61" s="298"/>
      <c r="C61" s="300"/>
      <c r="D61" s="302"/>
    </row>
    <row r="62" spans="1:4" ht="27" thickBot="1">
      <c r="A62" s="204" t="s">
        <v>153</v>
      </c>
      <c r="B62" s="192" t="s">
        <v>317</v>
      </c>
      <c r="C62" s="191" t="s">
        <v>316</v>
      </c>
      <c r="D62" s="203">
        <f>D63</f>
        <v>4329.4</v>
      </c>
    </row>
    <row r="63" spans="1:4" ht="12.75">
      <c r="A63" s="303" t="s">
        <v>154</v>
      </c>
      <c r="B63" s="305" t="s">
        <v>315</v>
      </c>
      <c r="C63" s="307" t="s">
        <v>314</v>
      </c>
      <c r="D63" s="309">
        <f>SUM(D65:D68)</f>
        <v>4329.4</v>
      </c>
    </row>
    <row r="64" spans="1:4" ht="13.5" thickBot="1">
      <c r="A64" s="304"/>
      <c r="B64" s="306"/>
      <c r="C64" s="308"/>
      <c r="D64" s="310"/>
    </row>
    <row r="65" spans="1:4" ht="53.25" thickBot="1">
      <c r="A65" s="177"/>
      <c r="B65" s="168" t="s">
        <v>313</v>
      </c>
      <c r="C65" s="202" t="s">
        <v>310</v>
      </c>
      <c r="D65" s="175">
        <v>3314.6</v>
      </c>
    </row>
    <row r="66" spans="1:4" ht="53.25" thickBot="1">
      <c r="A66" s="177"/>
      <c r="B66" s="168" t="s">
        <v>312</v>
      </c>
      <c r="C66" s="202" t="s">
        <v>310</v>
      </c>
      <c r="D66" s="175">
        <v>220.6</v>
      </c>
    </row>
    <row r="67" spans="1:4" ht="53.25" thickBot="1">
      <c r="A67" s="177"/>
      <c r="B67" s="168" t="s">
        <v>311</v>
      </c>
      <c r="C67" s="202" t="s">
        <v>310</v>
      </c>
      <c r="D67" s="201">
        <v>772</v>
      </c>
    </row>
    <row r="68" spans="1:4" ht="53.25" thickBot="1">
      <c r="A68" s="169"/>
      <c r="B68" s="200" t="s">
        <v>309</v>
      </c>
      <c r="C68" s="199" t="s">
        <v>308</v>
      </c>
      <c r="D68" s="198">
        <v>22.2</v>
      </c>
    </row>
    <row r="69" spans="1:4" ht="13.5" thickBot="1">
      <c r="A69" s="197" t="s">
        <v>307</v>
      </c>
      <c r="B69" s="196" t="s">
        <v>306</v>
      </c>
      <c r="C69" s="195" t="s">
        <v>305</v>
      </c>
      <c r="D69" s="194">
        <v>0</v>
      </c>
    </row>
    <row r="70" spans="1:4" ht="16.5" customHeight="1" thickBot="1">
      <c r="A70" s="193" t="s">
        <v>63</v>
      </c>
      <c r="B70" s="192" t="s">
        <v>304</v>
      </c>
      <c r="C70" s="191" t="s">
        <v>303</v>
      </c>
      <c r="D70" s="190">
        <v>0</v>
      </c>
    </row>
    <row r="71" spans="1:4" ht="39.75" thickBot="1">
      <c r="A71" s="177"/>
      <c r="B71" s="168" t="s">
        <v>302</v>
      </c>
      <c r="C71" s="167" t="s">
        <v>301</v>
      </c>
      <c r="D71" s="175">
        <v>0</v>
      </c>
    </row>
    <row r="72" spans="1:4" ht="17.25" customHeight="1" thickBot="1">
      <c r="A72" s="193" t="s">
        <v>300</v>
      </c>
      <c r="B72" s="192" t="s">
        <v>299</v>
      </c>
      <c r="C72" s="191" t="s">
        <v>298</v>
      </c>
      <c r="D72" s="190">
        <v>0</v>
      </c>
    </row>
    <row r="73" spans="1:4" ht="27" thickBot="1">
      <c r="A73" s="177"/>
      <c r="B73" s="168" t="s">
        <v>297</v>
      </c>
      <c r="C73" s="167" t="s">
        <v>295</v>
      </c>
      <c r="D73" s="175">
        <v>0</v>
      </c>
    </row>
    <row r="74" spans="1:4" ht="27" thickBot="1">
      <c r="A74" s="177"/>
      <c r="B74" s="168" t="s">
        <v>296</v>
      </c>
      <c r="C74" s="167" t="s">
        <v>295</v>
      </c>
      <c r="D74" s="175">
        <v>0</v>
      </c>
    </row>
    <row r="75" spans="1:4" ht="13.5" thickBot="1">
      <c r="A75" s="189" t="s">
        <v>294</v>
      </c>
      <c r="B75" s="188" t="s">
        <v>293</v>
      </c>
      <c r="C75" s="187" t="s">
        <v>292</v>
      </c>
      <c r="D75" s="186">
        <f>D76+D82+D84+D86</f>
        <v>23493.9</v>
      </c>
    </row>
    <row r="76" spans="1:4" ht="39.75" thickBot="1">
      <c r="A76" s="173">
        <v>1</v>
      </c>
      <c r="B76" s="172" t="s">
        <v>291</v>
      </c>
      <c r="C76" s="171" t="s">
        <v>290</v>
      </c>
      <c r="D76" s="170">
        <f>SUM(D77:D81)</f>
        <v>23493.9</v>
      </c>
    </row>
    <row r="77" spans="1:4" ht="30.75" customHeight="1" thickBot="1">
      <c r="A77" s="185"/>
      <c r="B77" s="184" t="s">
        <v>289</v>
      </c>
      <c r="C77" s="183" t="s">
        <v>288</v>
      </c>
      <c r="D77" s="182">
        <f>10125.3-125.3</f>
        <v>10000</v>
      </c>
    </row>
    <row r="78" spans="1:4" ht="54" customHeight="1" thickBot="1">
      <c r="A78" s="181"/>
      <c r="B78" s="180" t="s">
        <v>287</v>
      </c>
      <c r="C78" s="179" t="s">
        <v>286</v>
      </c>
      <c r="D78" s="178">
        <v>4106.2</v>
      </c>
    </row>
    <row r="79" spans="1:4" ht="81" customHeight="1" thickBot="1">
      <c r="A79" s="177"/>
      <c r="B79" s="168" t="s">
        <v>285</v>
      </c>
      <c r="C79" s="167" t="s">
        <v>284</v>
      </c>
      <c r="D79" s="175">
        <v>6</v>
      </c>
    </row>
    <row r="80" spans="1:4" ht="66" thickBot="1">
      <c r="A80" s="177"/>
      <c r="B80" s="168" t="s">
        <v>283</v>
      </c>
      <c r="C80" s="167" t="s">
        <v>282</v>
      </c>
      <c r="D80" s="175">
        <v>6793.1</v>
      </c>
    </row>
    <row r="81" spans="1:4" ht="54.75" customHeight="1" thickBot="1">
      <c r="A81" s="177"/>
      <c r="B81" s="168" t="s">
        <v>281</v>
      </c>
      <c r="C81" s="167" t="s">
        <v>280</v>
      </c>
      <c r="D81" s="175">
        <v>2588.6</v>
      </c>
    </row>
    <row r="82" spans="1:4" ht="95.25" customHeight="1" thickBot="1">
      <c r="A82" s="173">
        <v>2</v>
      </c>
      <c r="B82" s="172" t="s">
        <v>279</v>
      </c>
      <c r="C82" s="171" t="s">
        <v>278</v>
      </c>
      <c r="D82" s="170">
        <v>0</v>
      </c>
    </row>
    <row r="83" spans="1:4" ht="109.5" customHeight="1" thickBot="1">
      <c r="A83" s="176"/>
      <c r="B83" s="168" t="s">
        <v>277</v>
      </c>
      <c r="C83" s="167" t="s">
        <v>276</v>
      </c>
      <c r="D83" s="175">
        <v>0</v>
      </c>
    </row>
    <row r="84" spans="1:4" ht="85.5" customHeight="1" thickBot="1">
      <c r="A84" s="173">
        <v>3</v>
      </c>
      <c r="B84" s="172" t="s">
        <v>275</v>
      </c>
      <c r="C84" s="171" t="s">
        <v>274</v>
      </c>
      <c r="D84" s="170">
        <v>0</v>
      </c>
    </row>
    <row r="85" spans="1:4" ht="39.75" thickBot="1">
      <c r="A85" s="174"/>
      <c r="B85" s="168" t="s">
        <v>273</v>
      </c>
      <c r="C85" s="167" t="s">
        <v>272</v>
      </c>
      <c r="D85" s="166">
        <v>0</v>
      </c>
    </row>
    <row r="86" spans="1:4" ht="42.75" customHeight="1" thickBot="1">
      <c r="A86" s="173">
        <v>4</v>
      </c>
      <c r="B86" s="172" t="s">
        <v>271</v>
      </c>
      <c r="C86" s="171" t="s">
        <v>270</v>
      </c>
      <c r="D86" s="170">
        <v>0</v>
      </c>
    </row>
    <row r="87" spans="1:4" ht="54" customHeight="1" thickBot="1">
      <c r="A87" s="169"/>
      <c r="B87" s="168" t="s">
        <v>269</v>
      </c>
      <c r="C87" s="167" t="s">
        <v>268</v>
      </c>
      <c r="D87" s="166">
        <v>0</v>
      </c>
    </row>
    <row r="88" spans="1:4" ht="15.75" thickBot="1">
      <c r="A88" s="165"/>
      <c r="B88" s="164"/>
      <c r="C88" s="164" t="s">
        <v>267</v>
      </c>
      <c r="D88" s="163">
        <f>D13+D75</f>
        <v>109926.29999999999</v>
      </c>
    </row>
  </sheetData>
  <sheetProtection/>
  <mergeCells count="23">
    <mergeCell ref="A11:A12"/>
    <mergeCell ref="B11:B12"/>
    <mergeCell ref="C11:C12"/>
    <mergeCell ref="A26:A27"/>
    <mergeCell ref="B26:B27"/>
    <mergeCell ref="C26:C27"/>
    <mergeCell ref="D26:D27"/>
    <mergeCell ref="A47:A48"/>
    <mergeCell ref="B47:B48"/>
    <mergeCell ref="C47:C48"/>
    <mergeCell ref="D47:D48"/>
    <mergeCell ref="A53:A55"/>
    <mergeCell ref="B53:B55"/>
    <mergeCell ref="C53:C55"/>
    <mergeCell ref="D53:D55"/>
    <mergeCell ref="A60:A61"/>
    <mergeCell ref="B60:B61"/>
    <mergeCell ref="C60:C61"/>
    <mergeCell ref="D60:D61"/>
    <mergeCell ref="A63:A64"/>
    <mergeCell ref="B63:B64"/>
    <mergeCell ref="C63:C64"/>
    <mergeCell ref="D63:D64"/>
  </mergeCells>
  <hyperlinks>
    <hyperlink ref="C65" r:id="rId1" display="consultantplus://offline/ref=BA8367C61548C2AFBF9E6FD402A88DD132E1B56AAFE142E0CE9D95665F554F312D528821FE7E34F0DBiFM"/>
    <hyperlink ref="C66" r:id="rId2" display="consultantplus://offline/ref=BA8367C61548C2AFBF9E6FD402A88DD132E1B56AAFE142E0CE9D95665F554F312D528821FE7E34F0DBiFM"/>
    <hyperlink ref="C67" r:id="rId3" display="consultantplus://offline/ref=37CB61848D3A6800D660F2D2E804EC401BB9181ED910B74777BA149D24DE935506BFA7761A0CC035lAh4M"/>
    <hyperlink ref="C68" r:id="rId4" display="consultantplus://offline/ref=4645F68FF4B25908A56D00841820D7831ED18FCDE99E9570B71166DD85CCDB57342F52CC786DCE3FpDgAM"/>
  </hyperlinks>
  <printOptions/>
  <pageMargins left="0.7" right="0.7" top="0.75" bottom="0.75" header="0.3" footer="0.3"/>
  <pageSetup fitToHeight="0" fitToWidth="1" horizontalDpi="600" verticalDpi="600" orientation="portrait" paperSize="9" scale="7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0"/>
  <sheetViews>
    <sheetView zoomScalePageLayoutView="0" workbookViewId="0" topLeftCell="A198">
      <selection activeCell="A216" sqref="A216:IV218"/>
    </sheetView>
  </sheetViews>
  <sheetFormatPr defaultColWidth="9.00390625" defaultRowHeight="12.75"/>
  <cols>
    <col min="1" max="1" width="6.625" style="0" customWidth="1"/>
    <col min="2" max="2" width="41.875" style="0" customWidth="1"/>
    <col min="3" max="3" width="6.125" style="0" customWidth="1"/>
    <col min="4" max="4" width="8.50390625" style="0" customWidth="1"/>
    <col min="5" max="5" width="10.625" style="0" customWidth="1"/>
    <col min="6" max="6" width="6.125" style="0" customWidth="1"/>
    <col min="7" max="7" width="7.50390625" style="0" hidden="1" customWidth="1"/>
    <col min="8" max="8" width="14.50390625" style="0" customWidth="1"/>
    <col min="9" max="9" width="9.125" style="0" hidden="1" customWidth="1"/>
  </cols>
  <sheetData>
    <row r="1" spans="1:8" ht="13.5">
      <c r="A1" s="123"/>
      <c r="B1" s="123"/>
      <c r="C1" s="123"/>
      <c r="D1" s="11"/>
      <c r="H1" s="121" t="s">
        <v>261</v>
      </c>
    </row>
    <row r="2" spans="1:8" ht="13.5">
      <c r="A2" s="123"/>
      <c r="B2" s="123"/>
      <c r="C2" s="123"/>
      <c r="D2" s="11"/>
      <c r="H2" s="121" t="s">
        <v>234</v>
      </c>
    </row>
    <row r="3" spans="1:8" ht="13.5">
      <c r="A3" s="127"/>
      <c r="B3" s="127"/>
      <c r="C3" s="123"/>
      <c r="D3" s="11"/>
      <c r="H3" s="121" t="s">
        <v>235</v>
      </c>
    </row>
    <row r="4" spans="1:8" ht="13.5">
      <c r="A4" s="127"/>
      <c r="B4" s="132"/>
      <c r="C4" s="123"/>
      <c r="D4" s="11"/>
      <c r="H4" s="121" t="s">
        <v>197</v>
      </c>
    </row>
    <row r="5" spans="1:8" ht="13.5">
      <c r="A5" s="127"/>
      <c r="B5" s="133"/>
      <c r="C5" s="123"/>
      <c r="D5" s="11"/>
      <c r="H5" s="122" t="s">
        <v>461</v>
      </c>
    </row>
    <row r="6" spans="1:8" ht="12.75">
      <c r="A6" s="127"/>
      <c r="B6" s="2"/>
      <c r="C6" s="126" t="s">
        <v>262</v>
      </c>
      <c r="D6" s="148"/>
      <c r="E6" s="124"/>
      <c r="F6" s="124"/>
      <c r="G6" s="124"/>
      <c r="H6" s="124"/>
    </row>
    <row r="7" spans="1:4" ht="12.75">
      <c r="A7" s="129"/>
      <c r="B7" s="123"/>
      <c r="C7" s="126" t="s">
        <v>236</v>
      </c>
      <c r="D7" s="123"/>
    </row>
    <row r="8" spans="1:4" ht="12.75">
      <c r="A8" s="131"/>
      <c r="B8" s="123"/>
      <c r="C8" s="126" t="s">
        <v>263</v>
      </c>
      <c r="D8" s="123"/>
    </row>
    <row r="9" spans="1:8" ht="30.75" thickBot="1">
      <c r="A9" s="15" t="s">
        <v>75</v>
      </c>
      <c r="B9" s="3" t="s">
        <v>76</v>
      </c>
      <c r="C9" s="21" t="s">
        <v>77</v>
      </c>
      <c r="D9" s="15" t="s">
        <v>219</v>
      </c>
      <c r="E9" s="56" t="s">
        <v>78</v>
      </c>
      <c r="F9" s="21" t="s">
        <v>220</v>
      </c>
      <c r="G9" s="21" t="s">
        <v>222</v>
      </c>
      <c r="H9" s="38" t="s">
        <v>221</v>
      </c>
    </row>
    <row r="10" spans="1:8" ht="33" thickBot="1">
      <c r="A10" s="149"/>
      <c r="B10" s="150" t="s">
        <v>264</v>
      </c>
      <c r="C10" s="151" t="s">
        <v>82</v>
      </c>
      <c r="D10" s="152"/>
      <c r="E10" s="152"/>
      <c r="F10" s="151"/>
      <c r="G10" s="151"/>
      <c r="H10" s="153">
        <f>H11</f>
        <v>3509.3999999999996</v>
      </c>
    </row>
    <row r="11" spans="1:8" ht="13.5" thickBot="1">
      <c r="A11" s="154" t="s">
        <v>0</v>
      </c>
      <c r="B11" s="155" t="s">
        <v>1</v>
      </c>
      <c r="C11" s="156">
        <v>928</v>
      </c>
      <c r="D11" s="154" t="s">
        <v>80</v>
      </c>
      <c r="E11" s="157"/>
      <c r="F11" s="156"/>
      <c r="G11" s="156"/>
      <c r="H11" s="158">
        <f>H12+H20</f>
        <v>3509.3999999999996</v>
      </c>
    </row>
    <row r="12" spans="1:8" ht="21" thickBot="1">
      <c r="A12" s="80" t="s">
        <v>2</v>
      </c>
      <c r="B12" s="81" t="s">
        <v>3</v>
      </c>
      <c r="C12" s="82">
        <v>928</v>
      </c>
      <c r="D12" s="83" t="s">
        <v>79</v>
      </c>
      <c r="E12" s="83"/>
      <c r="F12" s="82"/>
      <c r="G12" s="82"/>
      <c r="H12" s="84">
        <f>H13</f>
        <v>1228.8</v>
      </c>
    </row>
    <row r="13" spans="1:8" ht="13.5" thickBot="1">
      <c r="A13" s="40" t="s">
        <v>4</v>
      </c>
      <c r="B13" s="86" t="s">
        <v>5</v>
      </c>
      <c r="C13" s="42">
        <v>928</v>
      </c>
      <c r="D13" s="43" t="s">
        <v>79</v>
      </c>
      <c r="E13" s="43" t="s">
        <v>167</v>
      </c>
      <c r="F13" s="42"/>
      <c r="G13" s="42"/>
      <c r="H13" s="62">
        <f>H14</f>
        <v>1228.8</v>
      </c>
    </row>
    <row r="14" spans="1:8" ht="41.25" thickBot="1">
      <c r="A14" s="16" t="s">
        <v>106</v>
      </c>
      <c r="B14" s="19" t="s">
        <v>105</v>
      </c>
      <c r="C14" s="22">
        <v>928</v>
      </c>
      <c r="D14" s="16" t="s">
        <v>79</v>
      </c>
      <c r="E14" s="54" t="s">
        <v>167</v>
      </c>
      <c r="F14" s="22">
        <v>100</v>
      </c>
      <c r="G14" s="22" t="s">
        <v>82</v>
      </c>
      <c r="H14" s="25">
        <f>'ассигнов 3'!H16</f>
        <v>1228.8</v>
      </c>
    </row>
    <row r="15" spans="1:8" ht="20.25" hidden="1">
      <c r="A15" s="16"/>
      <c r="B15" s="20" t="s">
        <v>6</v>
      </c>
      <c r="C15" s="22">
        <v>928</v>
      </c>
      <c r="D15" s="16" t="s">
        <v>79</v>
      </c>
      <c r="E15" s="1" t="s">
        <v>167</v>
      </c>
      <c r="F15" s="22">
        <v>120</v>
      </c>
      <c r="G15" s="22"/>
      <c r="H15" s="25">
        <f>H16+H18</f>
        <v>1219.1</v>
      </c>
    </row>
    <row r="16" spans="1:8" ht="12.75" hidden="1">
      <c r="A16" s="16"/>
      <c r="B16" s="20" t="s">
        <v>210</v>
      </c>
      <c r="C16" s="22">
        <v>928</v>
      </c>
      <c r="D16" s="16" t="s">
        <v>79</v>
      </c>
      <c r="E16" s="1" t="s">
        <v>167</v>
      </c>
      <c r="F16" s="22">
        <v>121</v>
      </c>
      <c r="G16" s="22"/>
      <c r="H16" s="25">
        <f>H17</f>
        <v>942.5</v>
      </c>
    </row>
    <row r="17" spans="1:8" ht="12.75" hidden="1">
      <c r="A17" s="16"/>
      <c r="B17" s="20" t="s">
        <v>206</v>
      </c>
      <c r="C17" s="22">
        <v>928</v>
      </c>
      <c r="D17" s="16" t="s">
        <v>79</v>
      </c>
      <c r="E17" s="1" t="s">
        <v>167</v>
      </c>
      <c r="F17" s="22">
        <v>121</v>
      </c>
      <c r="G17" s="22">
        <v>211</v>
      </c>
      <c r="H17" s="25">
        <v>942.5</v>
      </c>
    </row>
    <row r="18" spans="1:8" ht="30" hidden="1">
      <c r="A18" s="16"/>
      <c r="B18" s="20" t="s">
        <v>209</v>
      </c>
      <c r="C18" s="22">
        <v>928</v>
      </c>
      <c r="D18" s="16" t="s">
        <v>79</v>
      </c>
      <c r="E18" s="1" t="s">
        <v>167</v>
      </c>
      <c r="F18" s="22">
        <v>129</v>
      </c>
      <c r="G18" s="22"/>
      <c r="H18" s="25">
        <f>H19</f>
        <v>276.6</v>
      </c>
    </row>
    <row r="19" spans="1:12" ht="13.5" hidden="1" thickBot="1">
      <c r="A19" s="16"/>
      <c r="B19" s="20" t="s">
        <v>207</v>
      </c>
      <c r="C19" s="22">
        <v>928</v>
      </c>
      <c r="D19" s="16" t="s">
        <v>79</v>
      </c>
      <c r="E19" s="105" t="s">
        <v>167</v>
      </c>
      <c r="F19" s="22">
        <v>129</v>
      </c>
      <c r="G19" s="22">
        <v>213</v>
      </c>
      <c r="H19" s="25">
        <f>260.6+16</f>
        <v>276.6</v>
      </c>
      <c r="L19">
        <v>16</v>
      </c>
    </row>
    <row r="20" spans="1:8" ht="30.75" thickBot="1">
      <c r="A20" s="80" t="s">
        <v>7</v>
      </c>
      <c r="B20" s="85" t="s">
        <v>8</v>
      </c>
      <c r="C20" s="82">
        <v>928</v>
      </c>
      <c r="D20" s="83" t="s">
        <v>81</v>
      </c>
      <c r="E20" s="83"/>
      <c r="F20" s="82"/>
      <c r="G20" s="82"/>
      <c r="H20" s="84">
        <f>H21+H26+H43</f>
        <v>2280.6</v>
      </c>
    </row>
    <row r="21" spans="1:8" ht="21" thickBot="1">
      <c r="A21" s="40" t="s">
        <v>103</v>
      </c>
      <c r="B21" s="41" t="s">
        <v>10</v>
      </c>
      <c r="C21" s="42">
        <v>928</v>
      </c>
      <c r="D21" s="43" t="s">
        <v>81</v>
      </c>
      <c r="E21" s="43" t="s">
        <v>168</v>
      </c>
      <c r="F21" s="42"/>
      <c r="G21" s="42"/>
      <c r="H21" s="62">
        <f>'ассигнов 3'!H22</f>
        <v>265.2</v>
      </c>
    </row>
    <row r="22" spans="1:8" ht="41.25" thickBot="1">
      <c r="A22" s="16" t="s">
        <v>107</v>
      </c>
      <c r="B22" s="4" t="s">
        <v>105</v>
      </c>
      <c r="C22" s="22">
        <v>928</v>
      </c>
      <c r="D22" s="16" t="s">
        <v>81</v>
      </c>
      <c r="E22" s="54" t="s">
        <v>168</v>
      </c>
      <c r="F22" s="22">
        <v>100</v>
      </c>
      <c r="G22" s="22"/>
      <c r="H22" s="25">
        <f>'ассигнов 3'!H23</f>
        <v>265.2</v>
      </c>
    </row>
    <row r="23" spans="1:8" ht="20.25" hidden="1">
      <c r="A23" s="16"/>
      <c r="B23" s="20" t="s">
        <v>6</v>
      </c>
      <c r="C23" s="22">
        <v>928</v>
      </c>
      <c r="D23" s="16" t="s">
        <v>81</v>
      </c>
      <c r="E23" s="9" t="s">
        <v>168</v>
      </c>
      <c r="F23" s="22">
        <v>120</v>
      </c>
      <c r="G23" s="22"/>
      <c r="H23" s="25">
        <f>H24</f>
        <v>280.8</v>
      </c>
    </row>
    <row r="24" spans="1:8" ht="40.5" hidden="1">
      <c r="A24" s="16"/>
      <c r="B24" s="20" t="s">
        <v>241</v>
      </c>
      <c r="C24" s="22">
        <v>928</v>
      </c>
      <c r="D24" s="16" t="s">
        <v>81</v>
      </c>
      <c r="E24" s="1" t="s">
        <v>168</v>
      </c>
      <c r="F24" s="22">
        <v>123</v>
      </c>
      <c r="G24" s="22"/>
      <c r="H24" s="25">
        <f>H25</f>
        <v>280.8</v>
      </c>
    </row>
    <row r="25" spans="1:11" ht="13.5" hidden="1" thickBot="1">
      <c r="A25" s="16"/>
      <c r="B25" s="20" t="s">
        <v>208</v>
      </c>
      <c r="C25" s="22">
        <v>928</v>
      </c>
      <c r="D25" s="16" t="s">
        <v>81</v>
      </c>
      <c r="E25" s="105" t="s">
        <v>168</v>
      </c>
      <c r="F25" s="22">
        <v>123</v>
      </c>
      <c r="G25" s="22">
        <v>226</v>
      </c>
      <c r="H25" s="25">
        <f>285.8-5</f>
        <v>280.8</v>
      </c>
      <c r="K25">
        <v>2</v>
      </c>
    </row>
    <row r="26" spans="1:8" ht="21" thickBot="1">
      <c r="A26" s="40" t="s">
        <v>9</v>
      </c>
      <c r="B26" s="41" t="s">
        <v>12</v>
      </c>
      <c r="C26" s="42">
        <v>928</v>
      </c>
      <c r="D26" s="43" t="s">
        <v>81</v>
      </c>
      <c r="E26" s="43" t="s">
        <v>170</v>
      </c>
      <c r="F26" s="42"/>
      <c r="G26" s="42"/>
      <c r="H26" s="62">
        <f>'ассигнов 3'!H27</f>
        <v>1940.6</v>
      </c>
    </row>
    <row r="27" spans="1:8" ht="40.5">
      <c r="A27" s="16" t="s">
        <v>11</v>
      </c>
      <c r="B27" s="4" t="s">
        <v>105</v>
      </c>
      <c r="C27" s="22">
        <v>928</v>
      </c>
      <c r="D27" s="16" t="s">
        <v>81</v>
      </c>
      <c r="E27" s="54" t="s">
        <v>170</v>
      </c>
      <c r="F27" s="22">
        <v>100</v>
      </c>
      <c r="G27" s="22"/>
      <c r="H27" s="25">
        <f>'ассигнов 3'!H28</f>
        <v>1564</v>
      </c>
    </row>
    <row r="28" spans="1:8" ht="20.25" hidden="1">
      <c r="A28" s="16"/>
      <c r="B28" s="20" t="s">
        <v>6</v>
      </c>
      <c r="C28" s="22">
        <v>928</v>
      </c>
      <c r="D28" s="16" t="s">
        <v>81</v>
      </c>
      <c r="E28" s="1" t="s">
        <v>170</v>
      </c>
      <c r="F28" s="22">
        <v>120</v>
      </c>
      <c r="G28" s="22"/>
      <c r="H28" s="25">
        <f>H29+H31</f>
        <v>1592.2</v>
      </c>
    </row>
    <row r="29" spans="1:8" ht="12.75" hidden="1">
      <c r="A29" s="16"/>
      <c r="B29" s="20" t="s">
        <v>210</v>
      </c>
      <c r="C29" s="22">
        <v>928</v>
      </c>
      <c r="D29" s="16" t="s">
        <v>81</v>
      </c>
      <c r="E29" s="1" t="s">
        <v>170</v>
      </c>
      <c r="F29" s="22">
        <v>121</v>
      </c>
      <c r="G29" s="22"/>
      <c r="H29" s="25">
        <f>H30</f>
        <v>1166</v>
      </c>
    </row>
    <row r="30" spans="1:8" ht="12.75" hidden="1">
      <c r="A30" s="16"/>
      <c r="B30" s="20" t="s">
        <v>206</v>
      </c>
      <c r="C30" s="22">
        <v>928</v>
      </c>
      <c r="D30" s="16" t="s">
        <v>81</v>
      </c>
      <c r="E30" s="1" t="s">
        <v>170</v>
      </c>
      <c r="F30" s="22">
        <v>121</v>
      </c>
      <c r="G30" s="22">
        <v>211</v>
      </c>
      <c r="H30" s="25">
        <f>1093.3+72.7</f>
        <v>1166</v>
      </c>
    </row>
    <row r="31" spans="1:8" ht="30" hidden="1">
      <c r="A31" s="16"/>
      <c r="B31" s="20" t="s">
        <v>209</v>
      </c>
      <c r="C31" s="22">
        <v>928</v>
      </c>
      <c r="D31" s="16" t="s">
        <v>81</v>
      </c>
      <c r="E31" s="1" t="s">
        <v>170</v>
      </c>
      <c r="F31" s="22">
        <v>129</v>
      </c>
      <c r="G31" s="22"/>
      <c r="H31" s="25">
        <f>H32</f>
        <v>426.2</v>
      </c>
    </row>
    <row r="32" spans="1:12" ht="12.75" hidden="1">
      <c r="A32" s="16"/>
      <c r="B32" s="20" t="s">
        <v>207</v>
      </c>
      <c r="C32" s="22">
        <v>928</v>
      </c>
      <c r="D32" s="16" t="s">
        <v>81</v>
      </c>
      <c r="E32" s="1" t="s">
        <v>170</v>
      </c>
      <c r="F32" s="22">
        <v>129</v>
      </c>
      <c r="G32" s="22">
        <v>213</v>
      </c>
      <c r="H32" s="25">
        <f>330.2+22+74</f>
        <v>426.2</v>
      </c>
      <c r="L32">
        <v>74</v>
      </c>
    </row>
    <row r="33" spans="1:8" ht="21" thickBot="1">
      <c r="A33" s="17" t="s">
        <v>204</v>
      </c>
      <c r="B33" s="33" t="s">
        <v>24</v>
      </c>
      <c r="C33" s="23">
        <v>928</v>
      </c>
      <c r="D33" s="17" t="s">
        <v>81</v>
      </c>
      <c r="E33" s="9" t="s">
        <v>170</v>
      </c>
      <c r="F33" s="23">
        <v>200</v>
      </c>
      <c r="G33" s="23"/>
      <c r="H33" s="26">
        <f>'ассигнов 3'!H34</f>
        <v>376.6</v>
      </c>
    </row>
    <row r="34" spans="1:8" ht="20.25" hidden="1">
      <c r="A34" s="17"/>
      <c r="B34" s="5" t="s">
        <v>108</v>
      </c>
      <c r="C34" s="23">
        <v>928</v>
      </c>
      <c r="D34" s="17" t="s">
        <v>81</v>
      </c>
      <c r="E34" s="1" t="s">
        <v>170</v>
      </c>
      <c r="F34" s="23">
        <v>240</v>
      </c>
      <c r="G34" s="23"/>
      <c r="H34" s="26">
        <f>H35+H37</f>
        <v>364.29999999999995</v>
      </c>
    </row>
    <row r="35" spans="1:8" ht="20.25" hidden="1">
      <c r="A35" s="17"/>
      <c r="B35" s="7" t="s">
        <v>202</v>
      </c>
      <c r="C35" s="23">
        <v>928</v>
      </c>
      <c r="D35" s="17" t="s">
        <v>81</v>
      </c>
      <c r="E35" s="1" t="s">
        <v>170</v>
      </c>
      <c r="F35" s="23">
        <v>242</v>
      </c>
      <c r="G35" s="23"/>
      <c r="H35" s="26">
        <f>H36</f>
        <v>34</v>
      </c>
    </row>
    <row r="36" spans="1:8" ht="12.75" hidden="1">
      <c r="A36" s="17"/>
      <c r="B36" s="7" t="s">
        <v>211</v>
      </c>
      <c r="C36" s="23">
        <v>928</v>
      </c>
      <c r="D36" s="17" t="s">
        <v>81</v>
      </c>
      <c r="E36" s="1" t="s">
        <v>170</v>
      </c>
      <c r="F36" s="23">
        <v>242</v>
      </c>
      <c r="G36" s="23">
        <v>221</v>
      </c>
      <c r="H36" s="26">
        <f>200-166</f>
        <v>34</v>
      </c>
    </row>
    <row r="37" spans="1:8" ht="20.25" hidden="1">
      <c r="A37" s="17"/>
      <c r="B37" s="109" t="s">
        <v>199</v>
      </c>
      <c r="C37" s="23">
        <v>928</v>
      </c>
      <c r="D37" s="17" t="s">
        <v>81</v>
      </c>
      <c r="E37" s="58" t="s">
        <v>170</v>
      </c>
      <c r="F37" s="23">
        <v>244</v>
      </c>
      <c r="G37" s="23"/>
      <c r="H37" s="240">
        <f>H38+H39+H40+H41+H42</f>
        <v>330.29999999999995</v>
      </c>
    </row>
    <row r="38" spans="1:8" ht="10.5" customHeight="1" hidden="1">
      <c r="A38" s="18"/>
      <c r="B38" s="6" t="s">
        <v>212</v>
      </c>
      <c r="C38" s="23">
        <v>928</v>
      </c>
      <c r="D38" s="18" t="s">
        <v>81</v>
      </c>
      <c r="E38" s="1" t="s">
        <v>170</v>
      </c>
      <c r="F38" s="24">
        <v>244</v>
      </c>
      <c r="G38" s="24">
        <v>223</v>
      </c>
      <c r="H38" s="241">
        <f>114+21.2</f>
        <v>135.2</v>
      </c>
    </row>
    <row r="39" spans="1:8" ht="12.75" hidden="1">
      <c r="A39" s="17"/>
      <c r="B39" s="5" t="s">
        <v>213</v>
      </c>
      <c r="C39" s="23">
        <v>928</v>
      </c>
      <c r="D39" s="18" t="s">
        <v>81</v>
      </c>
      <c r="E39" s="1" t="s">
        <v>170</v>
      </c>
      <c r="F39" s="24">
        <v>244</v>
      </c>
      <c r="G39" s="23">
        <v>225</v>
      </c>
      <c r="H39" s="240">
        <f>30+99.2</f>
        <v>129.2</v>
      </c>
    </row>
    <row r="40" spans="1:12" ht="12.75" hidden="1">
      <c r="A40" s="17"/>
      <c r="B40" s="5" t="s">
        <v>208</v>
      </c>
      <c r="C40" s="23">
        <v>928</v>
      </c>
      <c r="D40" s="17" t="s">
        <v>81</v>
      </c>
      <c r="E40" s="1" t="s">
        <v>170</v>
      </c>
      <c r="F40" s="23">
        <v>244</v>
      </c>
      <c r="G40" s="108">
        <v>226</v>
      </c>
      <c r="H40" s="240">
        <f>56+54-45.6</f>
        <v>64.4</v>
      </c>
      <c r="L40">
        <v>-45.6</v>
      </c>
    </row>
    <row r="41" spans="1:12" ht="12.75" hidden="1">
      <c r="A41" s="17"/>
      <c r="B41" s="5" t="s">
        <v>218</v>
      </c>
      <c r="C41" s="23">
        <v>928</v>
      </c>
      <c r="D41" s="17" t="s">
        <v>81</v>
      </c>
      <c r="E41" s="1" t="s">
        <v>170</v>
      </c>
      <c r="F41" s="23">
        <v>244</v>
      </c>
      <c r="G41" s="108">
        <v>310</v>
      </c>
      <c r="H41" s="240">
        <f>20-18.5</f>
        <v>1.5</v>
      </c>
      <c r="L41">
        <v>-18.5</v>
      </c>
    </row>
    <row r="42" spans="1:12" ht="13.5" hidden="1" thickBot="1">
      <c r="A42" s="18"/>
      <c r="B42" s="6" t="s">
        <v>217</v>
      </c>
      <c r="C42" s="24">
        <v>928</v>
      </c>
      <c r="D42" s="18" t="s">
        <v>81</v>
      </c>
      <c r="E42" s="59" t="s">
        <v>170</v>
      </c>
      <c r="F42" s="24">
        <v>244</v>
      </c>
      <c r="G42" s="49">
        <v>340</v>
      </c>
      <c r="H42" s="241">
        <f>100+4.5-104.5</f>
        <v>0</v>
      </c>
      <c r="K42">
        <v>2</v>
      </c>
      <c r="L42">
        <v>-104.5</v>
      </c>
    </row>
    <row r="43" spans="1:8" ht="13.5" thickBot="1">
      <c r="A43" s="40" t="s">
        <v>104</v>
      </c>
      <c r="B43" s="41" t="s">
        <v>13</v>
      </c>
      <c r="C43" s="42">
        <v>928</v>
      </c>
      <c r="D43" s="43" t="s">
        <v>81</v>
      </c>
      <c r="E43" s="43" t="s">
        <v>169</v>
      </c>
      <c r="F43" s="42"/>
      <c r="G43" s="42"/>
      <c r="H43" s="62">
        <f>'ассигнов 3'!H44</f>
        <v>74.8</v>
      </c>
    </row>
    <row r="44" spans="1:8" ht="13.5" thickBot="1">
      <c r="A44" s="16" t="s">
        <v>214</v>
      </c>
      <c r="B44" s="4" t="s">
        <v>109</v>
      </c>
      <c r="C44" s="22">
        <v>928</v>
      </c>
      <c r="D44" s="16" t="s">
        <v>81</v>
      </c>
      <c r="E44" s="57" t="s">
        <v>169</v>
      </c>
      <c r="F44" s="22">
        <v>800</v>
      </c>
      <c r="G44" s="22"/>
      <c r="H44" s="25">
        <f>H45</f>
        <v>74.8</v>
      </c>
    </row>
    <row r="45" spans="1:8" ht="12.75" hidden="1">
      <c r="A45" s="16"/>
      <c r="B45" s="7" t="s">
        <v>14</v>
      </c>
      <c r="C45" s="22">
        <v>928</v>
      </c>
      <c r="D45" s="16" t="s">
        <v>81</v>
      </c>
      <c r="E45" s="1" t="s">
        <v>169</v>
      </c>
      <c r="F45" s="22">
        <v>850</v>
      </c>
      <c r="G45" s="22"/>
      <c r="H45" s="25">
        <f>H46+H48</f>
        <v>74.8</v>
      </c>
    </row>
    <row r="46" spans="1:8" ht="12.75" hidden="1">
      <c r="A46" s="16"/>
      <c r="B46" s="236" t="s">
        <v>252</v>
      </c>
      <c r="C46" s="22">
        <v>928</v>
      </c>
      <c r="D46" s="16" t="s">
        <v>81</v>
      </c>
      <c r="E46" s="58" t="s">
        <v>169</v>
      </c>
      <c r="F46" s="22">
        <v>851</v>
      </c>
      <c r="G46" s="22"/>
      <c r="H46" s="25">
        <f>H47</f>
        <v>0.5</v>
      </c>
    </row>
    <row r="47" spans="1:11" ht="12.75" hidden="1">
      <c r="A47" s="16"/>
      <c r="B47" s="236" t="s">
        <v>203</v>
      </c>
      <c r="C47" s="22">
        <v>928</v>
      </c>
      <c r="D47" s="16" t="s">
        <v>81</v>
      </c>
      <c r="E47" s="1" t="s">
        <v>169</v>
      </c>
      <c r="F47" s="22">
        <v>851</v>
      </c>
      <c r="G47" s="22">
        <v>290</v>
      </c>
      <c r="H47" s="25">
        <v>0.5</v>
      </c>
      <c r="K47">
        <v>2</v>
      </c>
    </row>
    <row r="48" spans="1:8" ht="12.75" hidden="1">
      <c r="A48" s="16"/>
      <c r="B48" s="159" t="s">
        <v>215</v>
      </c>
      <c r="C48" s="22">
        <v>928</v>
      </c>
      <c r="D48" s="16" t="s">
        <v>81</v>
      </c>
      <c r="E48" s="1" t="s">
        <v>169</v>
      </c>
      <c r="F48" s="22">
        <v>853</v>
      </c>
      <c r="G48" s="22"/>
      <c r="H48" s="25">
        <f>H49</f>
        <v>74.3</v>
      </c>
    </row>
    <row r="49" spans="1:8" ht="13.5" hidden="1" thickBot="1">
      <c r="A49" s="16"/>
      <c r="B49" s="114" t="s">
        <v>203</v>
      </c>
      <c r="C49" s="22">
        <v>928</v>
      </c>
      <c r="D49" s="16" t="s">
        <v>81</v>
      </c>
      <c r="E49" s="1" t="s">
        <v>169</v>
      </c>
      <c r="F49" s="22">
        <v>853</v>
      </c>
      <c r="G49" s="22">
        <v>290</v>
      </c>
      <c r="H49" s="25">
        <v>74.3</v>
      </c>
    </row>
    <row r="50" spans="1:8" ht="33" thickBot="1">
      <c r="A50" s="149"/>
      <c r="B50" s="160" t="s">
        <v>265</v>
      </c>
      <c r="C50" s="151"/>
      <c r="D50" s="152"/>
      <c r="E50" s="152"/>
      <c r="F50" s="151"/>
      <c r="G50" s="151"/>
      <c r="H50" s="161">
        <f>H51+H184+H198+H266+H273+H286+H302+H312</f>
        <v>111720.82</v>
      </c>
    </row>
    <row r="51" spans="1:8" ht="13.5" thickBot="1">
      <c r="A51" s="75" t="s">
        <v>224</v>
      </c>
      <c r="B51" s="76" t="s">
        <v>1</v>
      </c>
      <c r="C51" s="77">
        <v>966</v>
      </c>
      <c r="D51" s="78" t="s">
        <v>80</v>
      </c>
      <c r="E51" s="78"/>
      <c r="F51" s="77"/>
      <c r="G51" s="77"/>
      <c r="H51" s="79">
        <f>H52+H118+H123</f>
        <v>31527.100000000002</v>
      </c>
    </row>
    <row r="52" spans="1:8" ht="30.75" thickBot="1">
      <c r="A52" s="69" t="s">
        <v>15</v>
      </c>
      <c r="B52" s="70" t="s">
        <v>16</v>
      </c>
      <c r="C52" s="71">
        <v>966</v>
      </c>
      <c r="D52" s="72" t="s">
        <v>84</v>
      </c>
      <c r="E52" s="72"/>
      <c r="F52" s="71"/>
      <c r="G52" s="71"/>
      <c r="H52" s="73">
        <f>H53+H60+H94+H99</f>
        <v>28894.600000000002</v>
      </c>
    </row>
    <row r="53" spans="1:8" ht="12.75">
      <c r="A53" s="64" t="s">
        <v>17</v>
      </c>
      <c r="B53" s="65" t="s">
        <v>18</v>
      </c>
      <c r="C53" s="66">
        <v>966</v>
      </c>
      <c r="D53" s="67" t="s">
        <v>84</v>
      </c>
      <c r="E53" s="67" t="s">
        <v>171</v>
      </c>
      <c r="F53" s="66"/>
      <c r="G53" s="66"/>
      <c r="H53" s="68">
        <f>'ассигнов 3'!H54</f>
        <v>1175.7</v>
      </c>
    </row>
    <row r="54" spans="1:8" ht="41.25" thickBot="1">
      <c r="A54" s="17" t="s">
        <v>19</v>
      </c>
      <c r="B54" s="5" t="s">
        <v>105</v>
      </c>
      <c r="C54" s="27">
        <v>966</v>
      </c>
      <c r="D54" s="1" t="s">
        <v>84</v>
      </c>
      <c r="E54" s="1" t="s">
        <v>171</v>
      </c>
      <c r="F54" s="27">
        <v>100</v>
      </c>
      <c r="G54" s="27"/>
      <c r="H54" s="26">
        <f>'ассигнов 3'!H55</f>
        <v>1175.7</v>
      </c>
    </row>
    <row r="55" spans="1:8" ht="20.25" hidden="1">
      <c r="A55" s="17"/>
      <c r="B55" s="20" t="s">
        <v>6</v>
      </c>
      <c r="C55" s="27">
        <v>966</v>
      </c>
      <c r="D55" s="1" t="s">
        <v>84</v>
      </c>
      <c r="E55" s="9" t="s">
        <v>171</v>
      </c>
      <c r="F55" s="27">
        <v>120</v>
      </c>
      <c r="G55" s="27"/>
      <c r="H55" s="26">
        <f>H56+H58</f>
        <v>1203.1</v>
      </c>
    </row>
    <row r="56" spans="1:8" ht="12.75" hidden="1">
      <c r="A56" s="16"/>
      <c r="B56" s="20" t="s">
        <v>210</v>
      </c>
      <c r="C56" s="27">
        <v>966</v>
      </c>
      <c r="D56" s="1" t="s">
        <v>84</v>
      </c>
      <c r="E56" s="1" t="s">
        <v>171</v>
      </c>
      <c r="F56" s="22">
        <v>121</v>
      </c>
      <c r="G56" s="22"/>
      <c r="H56" s="25">
        <f>H57</f>
        <v>942.5</v>
      </c>
    </row>
    <row r="57" spans="1:8" ht="12.75" hidden="1">
      <c r="A57" s="16"/>
      <c r="B57" s="20" t="s">
        <v>206</v>
      </c>
      <c r="C57" s="27">
        <v>966</v>
      </c>
      <c r="D57" s="1" t="s">
        <v>84</v>
      </c>
      <c r="E57" s="1" t="s">
        <v>171</v>
      </c>
      <c r="F57" s="22">
        <v>121</v>
      </c>
      <c r="G57" s="22">
        <v>211</v>
      </c>
      <c r="H57" s="25">
        <v>942.5</v>
      </c>
    </row>
    <row r="58" spans="1:8" ht="30" hidden="1">
      <c r="A58" s="16"/>
      <c r="B58" s="20" t="s">
        <v>209</v>
      </c>
      <c r="C58" s="27">
        <v>966</v>
      </c>
      <c r="D58" s="1" t="s">
        <v>84</v>
      </c>
      <c r="E58" s="1" t="s">
        <v>171</v>
      </c>
      <c r="F58" s="22">
        <v>129</v>
      </c>
      <c r="G58" s="22"/>
      <c r="H58" s="25">
        <f>H59</f>
        <v>260.6</v>
      </c>
    </row>
    <row r="59" spans="1:8" ht="13.5" hidden="1" thickBot="1">
      <c r="A59" s="16"/>
      <c r="B59" s="20" t="s">
        <v>207</v>
      </c>
      <c r="C59" s="27">
        <v>966</v>
      </c>
      <c r="D59" s="1" t="s">
        <v>84</v>
      </c>
      <c r="E59" s="58" t="s">
        <v>171</v>
      </c>
      <c r="F59" s="22">
        <v>129</v>
      </c>
      <c r="G59" s="22">
        <v>213</v>
      </c>
      <c r="H59" s="25">
        <v>260.6</v>
      </c>
    </row>
    <row r="60" spans="1:8" ht="21" thickBot="1">
      <c r="A60" s="40" t="s">
        <v>20</v>
      </c>
      <c r="B60" s="41" t="s">
        <v>21</v>
      </c>
      <c r="C60" s="42">
        <v>966</v>
      </c>
      <c r="D60" s="43" t="s">
        <v>84</v>
      </c>
      <c r="E60" s="43" t="s">
        <v>172</v>
      </c>
      <c r="F60" s="42"/>
      <c r="G60" s="42"/>
      <c r="H60" s="62">
        <f>'ассигнов 3'!H61</f>
        <v>23606.7</v>
      </c>
    </row>
    <row r="61" spans="1:8" ht="40.5">
      <c r="A61" s="17" t="s">
        <v>22</v>
      </c>
      <c r="B61" s="104" t="s">
        <v>105</v>
      </c>
      <c r="C61" s="45">
        <v>966</v>
      </c>
      <c r="D61" s="46" t="s">
        <v>84</v>
      </c>
      <c r="E61" s="57" t="s">
        <v>172</v>
      </c>
      <c r="F61" s="45">
        <v>100</v>
      </c>
      <c r="G61" s="45"/>
      <c r="H61" s="51">
        <f>'ассигнов 3'!H62</f>
        <v>19536.3</v>
      </c>
    </row>
    <row r="62" spans="1:8" ht="20.25" hidden="1">
      <c r="A62" s="17"/>
      <c r="B62" s="20" t="s">
        <v>6</v>
      </c>
      <c r="C62" s="27">
        <v>966</v>
      </c>
      <c r="D62" s="1" t="s">
        <v>84</v>
      </c>
      <c r="E62" s="1" t="s">
        <v>172</v>
      </c>
      <c r="F62" s="27">
        <v>120</v>
      </c>
      <c r="G62" s="27"/>
      <c r="H62" s="26">
        <f>H63+H65+H68</f>
        <v>19987.300000000003</v>
      </c>
    </row>
    <row r="63" spans="1:8" ht="12.75" hidden="1">
      <c r="A63" s="16"/>
      <c r="B63" s="20" t="s">
        <v>210</v>
      </c>
      <c r="C63" s="27">
        <v>966</v>
      </c>
      <c r="D63" s="1" t="s">
        <v>84</v>
      </c>
      <c r="E63" s="1" t="s">
        <v>172</v>
      </c>
      <c r="F63" s="22">
        <v>121</v>
      </c>
      <c r="G63" s="22"/>
      <c r="H63" s="25">
        <f>H64</f>
        <v>15247.4</v>
      </c>
    </row>
    <row r="64" spans="1:12" ht="12.75" hidden="1">
      <c r="A64" s="16"/>
      <c r="B64" s="20" t="s">
        <v>206</v>
      </c>
      <c r="C64" s="27">
        <v>966</v>
      </c>
      <c r="D64" s="1" t="s">
        <v>84</v>
      </c>
      <c r="E64" s="1" t="s">
        <v>172</v>
      </c>
      <c r="F64" s="22">
        <v>121</v>
      </c>
      <c r="G64" s="22">
        <v>211</v>
      </c>
      <c r="H64" s="25">
        <f>16221.4-58.8-915.2</f>
        <v>15247.4</v>
      </c>
      <c r="L64">
        <v>-915.2</v>
      </c>
    </row>
    <row r="65" spans="1:8" ht="20.25" hidden="1">
      <c r="A65" s="16"/>
      <c r="B65" s="20" t="s">
        <v>250</v>
      </c>
      <c r="C65" s="27">
        <v>966</v>
      </c>
      <c r="D65" s="1" t="s">
        <v>84</v>
      </c>
      <c r="E65" s="1" t="s">
        <v>172</v>
      </c>
      <c r="F65" s="22">
        <v>122</v>
      </c>
      <c r="G65" s="22"/>
      <c r="H65" s="25">
        <f>H66+H67</f>
        <v>135.2</v>
      </c>
    </row>
    <row r="66" spans="1:8" ht="12.75" hidden="1">
      <c r="A66" s="16"/>
      <c r="B66" s="20" t="s">
        <v>249</v>
      </c>
      <c r="C66" s="27">
        <v>966</v>
      </c>
      <c r="D66" s="1" t="s">
        <v>84</v>
      </c>
      <c r="E66" s="1" t="s">
        <v>172</v>
      </c>
      <c r="F66" s="22">
        <v>122</v>
      </c>
      <c r="G66" s="22">
        <v>212</v>
      </c>
      <c r="H66" s="25">
        <v>0.1</v>
      </c>
    </row>
    <row r="67" spans="1:12" ht="12.75" hidden="1">
      <c r="A67" s="16"/>
      <c r="B67" s="20" t="s">
        <v>216</v>
      </c>
      <c r="C67" s="27">
        <v>966</v>
      </c>
      <c r="D67" s="1" t="s">
        <v>84</v>
      </c>
      <c r="E67" s="1" t="s">
        <v>172</v>
      </c>
      <c r="F67" s="22">
        <v>122</v>
      </c>
      <c r="G67" s="22">
        <v>222</v>
      </c>
      <c r="H67" s="25">
        <f>220-84.9</f>
        <v>135.1</v>
      </c>
      <c r="I67" t="s">
        <v>251</v>
      </c>
      <c r="L67">
        <v>-84.9</v>
      </c>
    </row>
    <row r="68" spans="1:8" ht="30" hidden="1">
      <c r="A68" s="16"/>
      <c r="B68" s="20" t="s">
        <v>209</v>
      </c>
      <c r="C68" s="27">
        <v>966</v>
      </c>
      <c r="D68" s="1" t="s">
        <v>84</v>
      </c>
      <c r="E68" s="1" t="s">
        <v>172</v>
      </c>
      <c r="F68" s="22">
        <v>129</v>
      </c>
      <c r="G68" s="22"/>
      <c r="H68" s="25">
        <f>H69</f>
        <v>4604.700000000001</v>
      </c>
    </row>
    <row r="69" spans="1:12" ht="12.75" hidden="1">
      <c r="A69" s="16"/>
      <c r="B69" s="20" t="s">
        <v>207</v>
      </c>
      <c r="C69" s="27">
        <v>966</v>
      </c>
      <c r="D69" s="1" t="s">
        <v>84</v>
      </c>
      <c r="E69" s="1" t="s">
        <v>172</v>
      </c>
      <c r="F69" s="22">
        <v>129</v>
      </c>
      <c r="G69" s="22">
        <v>213</v>
      </c>
      <c r="H69" s="25">
        <f>4892.5-11.4-5.2-271.2</f>
        <v>4604.700000000001</v>
      </c>
      <c r="L69">
        <v>-271.2</v>
      </c>
    </row>
    <row r="70" spans="1:8" ht="20.25">
      <c r="A70" s="17" t="s">
        <v>23</v>
      </c>
      <c r="B70" s="35" t="s">
        <v>24</v>
      </c>
      <c r="C70" s="27">
        <v>966</v>
      </c>
      <c r="D70" s="17" t="s">
        <v>84</v>
      </c>
      <c r="E70" s="1" t="s">
        <v>172</v>
      </c>
      <c r="F70" s="23">
        <v>200</v>
      </c>
      <c r="G70" s="23"/>
      <c r="H70" s="26">
        <f>'ассигнов 3'!H71</f>
        <v>4020.4</v>
      </c>
    </row>
    <row r="71" spans="1:8" ht="20.25" hidden="1">
      <c r="A71" s="17"/>
      <c r="B71" s="5" t="s">
        <v>108</v>
      </c>
      <c r="C71" s="27">
        <v>966</v>
      </c>
      <c r="D71" s="17" t="s">
        <v>84</v>
      </c>
      <c r="E71" s="1" t="s">
        <v>172</v>
      </c>
      <c r="F71" s="23">
        <v>240</v>
      </c>
      <c r="G71" s="23"/>
      <c r="H71" s="26">
        <f>H72+H77</f>
        <v>4048.1000000000004</v>
      </c>
    </row>
    <row r="72" spans="1:8" ht="20.25" hidden="1">
      <c r="A72" s="17"/>
      <c r="B72" s="7" t="s">
        <v>202</v>
      </c>
      <c r="C72" s="27">
        <v>966</v>
      </c>
      <c r="D72" s="1" t="s">
        <v>84</v>
      </c>
      <c r="E72" s="1" t="s">
        <v>172</v>
      </c>
      <c r="F72" s="27">
        <v>242</v>
      </c>
      <c r="G72" s="27"/>
      <c r="H72" s="26">
        <f>H73+H74+H75+H76</f>
        <v>806.9999999999999</v>
      </c>
    </row>
    <row r="73" spans="1:12" ht="12.75" hidden="1">
      <c r="A73" s="17"/>
      <c r="B73" s="7" t="s">
        <v>211</v>
      </c>
      <c r="C73" s="27">
        <v>966</v>
      </c>
      <c r="D73" s="1" t="s">
        <v>84</v>
      </c>
      <c r="E73" s="1" t="s">
        <v>172</v>
      </c>
      <c r="F73" s="27">
        <v>242</v>
      </c>
      <c r="G73" s="27">
        <v>221</v>
      </c>
      <c r="H73" s="26">
        <f>188.5+174.9-37</f>
        <v>326.4</v>
      </c>
      <c r="L73">
        <v>-37</v>
      </c>
    </row>
    <row r="74" spans="1:12" ht="12.75" hidden="1">
      <c r="A74" s="17"/>
      <c r="B74" s="7" t="s">
        <v>208</v>
      </c>
      <c r="C74" s="27">
        <v>966</v>
      </c>
      <c r="D74" s="1" t="s">
        <v>84</v>
      </c>
      <c r="E74" s="1" t="s">
        <v>172</v>
      </c>
      <c r="F74" s="27">
        <v>242</v>
      </c>
      <c r="G74" s="27">
        <v>226</v>
      </c>
      <c r="H74" s="26">
        <f>500+22-47.3</f>
        <v>474.7</v>
      </c>
      <c r="L74">
        <v>-47.3</v>
      </c>
    </row>
    <row r="75" spans="1:12" ht="12.75" hidden="1">
      <c r="A75" s="17"/>
      <c r="B75" s="5" t="s">
        <v>218</v>
      </c>
      <c r="C75" s="23">
        <v>966</v>
      </c>
      <c r="D75" s="17" t="s">
        <v>84</v>
      </c>
      <c r="E75" s="1" t="s">
        <v>172</v>
      </c>
      <c r="F75" s="23">
        <v>242</v>
      </c>
      <c r="G75" s="108">
        <v>310</v>
      </c>
      <c r="H75" s="26">
        <f>50-46.2</f>
        <v>3.799999999999997</v>
      </c>
      <c r="L75">
        <v>-46.2</v>
      </c>
    </row>
    <row r="76" spans="1:12" ht="12.75" hidden="1">
      <c r="A76" s="17"/>
      <c r="B76" s="5" t="s">
        <v>217</v>
      </c>
      <c r="C76" s="23">
        <v>966</v>
      </c>
      <c r="D76" s="17" t="s">
        <v>84</v>
      </c>
      <c r="E76" s="1" t="s">
        <v>172</v>
      </c>
      <c r="F76" s="23">
        <v>242</v>
      </c>
      <c r="G76" s="108">
        <v>340</v>
      </c>
      <c r="H76" s="26">
        <f>100-97.9</f>
        <v>2.0999999999999943</v>
      </c>
      <c r="L76">
        <v>-97.9</v>
      </c>
    </row>
    <row r="77" spans="1:8" ht="20.25" hidden="1">
      <c r="A77" s="17"/>
      <c r="B77" s="109" t="s">
        <v>199</v>
      </c>
      <c r="C77" s="27">
        <v>966</v>
      </c>
      <c r="D77" s="1" t="s">
        <v>84</v>
      </c>
      <c r="E77" s="1" t="s">
        <v>172</v>
      </c>
      <c r="F77" s="27">
        <v>244</v>
      </c>
      <c r="G77" s="27"/>
      <c r="H77" s="26">
        <f>SUM(H78:H84)</f>
        <v>3241.1000000000004</v>
      </c>
    </row>
    <row r="78" spans="1:12" ht="12.75" hidden="1">
      <c r="A78" s="17"/>
      <c r="B78" s="5" t="s">
        <v>211</v>
      </c>
      <c r="C78" s="27">
        <v>966</v>
      </c>
      <c r="D78" s="16" t="s">
        <v>84</v>
      </c>
      <c r="E78" s="1" t="s">
        <v>172</v>
      </c>
      <c r="F78" s="22">
        <v>244</v>
      </c>
      <c r="G78" s="22">
        <v>221</v>
      </c>
      <c r="H78" s="25">
        <f>161+439-100-136.5</f>
        <v>363.5</v>
      </c>
      <c r="L78">
        <v>-136.5</v>
      </c>
    </row>
    <row r="79" spans="1:12" ht="12.75" hidden="1">
      <c r="A79" s="17"/>
      <c r="B79" s="5" t="s">
        <v>216</v>
      </c>
      <c r="C79" s="27">
        <v>966</v>
      </c>
      <c r="D79" s="16" t="s">
        <v>84</v>
      </c>
      <c r="E79" s="1" t="s">
        <v>172</v>
      </c>
      <c r="F79" s="22">
        <v>244</v>
      </c>
      <c r="G79" s="23">
        <v>222</v>
      </c>
      <c r="H79" s="26">
        <f>290.6+29.4-220-88</f>
        <v>12</v>
      </c>
      <c r="I79" t="s">
        <v>251</v>
      </c>
      <c r="L79">
        <v>-88</v>
      </c>
    </row>
    <row r="80" spans="1:8" ht="12.75" hidden="1">
      <c r="A80" s="17"/>
      <c r="B80" s="6" t="s">
        <v>212</v>
      </c>
      <c r="C80" s="27">
        <v>966</v>
      </c>
      <c r="D80" s="16" t="s">
        <v>84</v>
      </c>
      <c r="E80" s="1" t="s">
        <v>172</v>
      </c>
      <c r="F80" s="22">
        <v>244</v>
      </c>
      <c r="G80" s="23">
        <v>223</v>
      </c>
      <c r="H80" s="26">
        <f>100-50</f>
        <v>50</v>
      </c>
    </row>
    <row r="81" spans="1:11" ht="12.75" hidden="1">
      <c r="A81" s="17"/>
      <c r="B81" s="6" t="s">
        <v>213</v>
      </c>
      <c r="C81" s="27">
        <v>966</v>
      </c>
      <c r="D81" s="16" t="s">
        <v>84</v>
      </c>
      <c r="E81" s="1" t="s">
        <v>172</v>
      </c>
      <c r="F81" s="22">
        <v>244</v>
      </c>
      <c r="G81" s="23">
        <v>225</v>
      </c>
      <c r="H81" s="26">
        <f>98.4+100.1+1000+68.4+100</f>
        <v>1366.9</v>
      </c>
      <c r="K81">
        <v>2</v>
      </c>
    </row>
    <row r="82" spans="1:12" ht="12.75" hidden="1">
      <c r="A82" s="17"/>
      <c r="B82" s="5" t="s">
        <v>208</v>
      </c>
      <c r="C82" s="27">
        <v>966</v>
      </c>
      <c r="D82" s="16" t="s">
        <v>84</v>
      </c>
      <c r="E82" s="1" t="s">
        <v>172</v>
      </c>
      <c r="F82" s="22">
        <v>244</v>
      </c>
      <c r="G82" s="23">
        <v>226</v>
      </c>
      <c r="H82" s="26">
        <f>922.4-492.9-39.7</f>
        <v>389.8</v>
      </c>
      <c r="L82">
        <v>-39.7</v>
      </c>
    </row>
    <row r="83" spans="1:11" ht="12.75" hidden="1">
      <c r="A83" s="17"/>
      <c r="B83" s="5" t="s">
        <v>218</v>
      </c>
      <c r="C83" s="27">
        <v>966</v>
      </c>
      <c r="D83" s="17" t="s">
        <v>84</v>
      </c>
      <c r="E83" s="1" t="s">
        <v>172</v>
      </c>
      <c r="F83" s="23">
        <v>244</v>
      </c>
      <c r="G83" s="23">
        <v>310</v>
      </c>
      <c r="H83" s="26">
        <f>202.4-172.4+3430.1-25.6-300-190-200-2000-68.4-515</f>
        <v>161.10000000000002</v>
      </c>
      <c r="K83">
        <v>2</v>
      </c>
    </row>
    <row r="84" spans="1:12" ht="12.75" hidden="1">
      <c r="A84" s="17"/>
      <c r="B84" s="5" t="s">
        <v>217</v>
      </c>
      <c r="C84" s="27">
        <v>966</v>
      </c>
      <c r="D84" s="17" t="s">
        <v>84</v>
      </c>
      <c r="E84" s="1" t="s">
        <v>172</v>
      </c>
      <c r="F84" s="23">
        <v>244</v>
      </c>
      <c r="G84" s="23">
        <v>340</v>
      </c>
      <c r="H84" s="26">
        <f>224.2+165.8+200+237.8+70</f>
        <v>897.8</v>
      </c>
      <c r="L84">
        <v>70</v>
      </c>
    </row>
    <row r="85" spans="1:8" ht="13.5" thickBot="1">
      <c r="A85" s="1" t="s">
        <v>223</v>
      </c>
      <c r="B85" s="7" t="s">
        <v>109</v>
      </c>
      <c r="C85" s="27">
        <v>966</v>
      </c>
      <c r="D85" s="1" t="s">
        <v>84</v>
      </c>
      <c r="E85" s="1" t="s">
        <v>172</v>
      </c>
      <c r="F85" s="108">
        <v>800</v>
      </c>
      <c r="G85" s="108"/>
      <c r="H85" s="26">
        <f>'ассигнов 3'!H86</f>
        <v>50</v>
      </c>
    </row>
    <row r="86" spans="1:8" ht="12.75" hidden="1">
      <c r="A86" s="9"/>
      <c r="B86" s="8" t="s">
        <v>97</v>
      </c>
      <c r="C86" s="27">
        <v>966</v>
      </c>
      <c r="D86" s="1" t="s">
        <v>84</v>
      </c>
      <c r="E86" s="1" t="s">
        <v>172</v>
      </c>
      <c r="F86" s="23">
        <v>830</v>
      </c>
      <c r="G86" s="23"/>
      <c r="H86" s="26">
        <f>H87</f>
        <v>100</v>
      </c>
    </row>
    <row r="87" spans="1:8" ht="60.75" hidden="1">
      <c r="A87" s="9"/>
      <c r="B87" s="110" t="s">
        <v>205</v>
      </c>
      <c r="C87" s="29">
        <v>966</v>
      </c>
      <c r="D87" s="9" t="s">
        <v>84</v>
      </c>
      <c r="E87" s="1" t="s">
        <v>172</v>
      </c>
      <c r="F87" s="22">
        <v>831</v>
      </c>
      <c r="G87" s="22"/>
      <c r="H87" s="25">
        <f>H88</f>
        <v>100</v>
      </c>
    </row>
    <row r="88" spans="1:8" ht="12.75" hidden="1">
      <c r="A88" s="9"/>
      <c r="B88" s="114" t="s">
        <v>203</v>
      </c>
      <c r="C88" s="29">
        <v>966</v>
      </c>
      <c r="D88" s="9" t="s">
        <v>84</v>
      </c>
      <c r="E88" s="1" t="s">
        <v>172</v>
      </c>
      <c r="F88" s="22">
        <v>831</v>
      </c>
      <c r="G88" s="22">
        <v>290</v>
      </c>
      <c r="H88" s="25">
        <v>100</v>
      </c>
    </row>
    <row r="89" spans="1:8" ht="12.75" hidden="1">
      <c r="A89" s="9" t="s">
        <v>231</v>
      </c>
      <c r="B89" s="114" t="s">
        <v>14</v>
      </c>
      <c r="C89" s="27">
        <v>966</v>
      </c>
      <c r="D89" s="1" t="s">
        <v>84</v>
      </c>
      <c r="E89" s="9" t="s">
        <v>172</v>
      </c>
      <c r="F89" s="23">
        <v>850</v>
      </c>
      <c r="G89" s="23"/>
      <c r="H89" s="26">
        <f>H92+H90</f>
        <v>2.3</v>
      </c>
    </row>
    <row r="90" spans="1:8" ht="12.75" hidden="1">
      <c r="A90" s="9"/>
      <c r="B90" s="236" t="s">
        <v>252</v>
      </c>
      <c r="C90" s="29">
        <v>966</v>
      </c>
      <c r="D90" s="9" t="s">
        <v>84</v>
      </c>
      <c r="E90" s="1" t="s">
        <v>172</v>
      </c>
      <c r="F90" s="22">
        <v>851</v>
      </c>
      <c r="G90" s="22"/>
      <c r="H90" s="25">
        <f>H91</f>
        <v>0.3</v>
      </c>
    </row>
    <row r="91" spans="1:11" ht="12.75" hidden="1">
      <c r="A91" s="9"/>
      <c r="B91" s="147" t="s">
        <v>203</v>
      </c>
      <c r="C91" s="29">
        <v>966</v>
      </c>
      <c r="D91" s="9" t="s">
        <v>84</v>
      </c>
      <c r="E91" s="1" t="s">
        <v>172</v>
      </c>
      <c r="F91" s="22">
        <v>851</v>
      </c>
      <c r="G91" s="22">
        <v>290</v>
      </c>
      <c r="H91" s="25">
        <v>0.3</v>
      </c>
      <c r="K91">
        <v>2</v>
      </c>
    </row>
    <row r="92" spans="1:8" ht="12.75" hidden="1">
      <c r="A92" s="9"/>
      <c r="B92" s="110" t="s">
        <v>215</v>
      </c>
      <c r="C92" s="29">
        <v>966</v>
      </c>
      <c r="D92" s="9" t="s">
        <v>84</v>
      </c>
      <c r="E92" s="9" t="s">
        <v>172</v>
      </c>
      <c r="F92" s="22">
        <v>853</v>
      </c>
      <c r="G92" s="22"/>
      <c r="H92" s="25">
        <f>H93</f>
        <v>2</v>
      </c>
    </row>
    <row r="93" spans="1:8" ht="13.5" hidden="1" thickBot="1">
      <c r="A93" s="9"/>
      <c r="B93" s="114" t="s">
        <v>203</v>
      </c>
      <c r="C93" s="29">
        <v>966</v>
      </c>
      <c r="D93" s="9" t="s">
        <v>84</v>
      </c>
      <c r="E93" s="105" t="s">
        <v>172</v>
      </c>
      <c r="F93" s="22">
        <v>853</v>
      </c>
      <c r="G93" s="22">
        <v>290</v>
      </c>
      <c r="H93" s="242">
        <f>1+1</f>
        <v>2</v>
      </c>
    </row>
    <row r="94" spans="1:8" ht="42" thickBot="1">
      <c r="A94" s="40" t="s">
        <v>225</v>
      </c>
      <c r="B94" s="63" t="s">
        <v>131</v>
      </c>
      <c r="C94" s="42">
        <v>966</v>
      </c>
      <c r="D94" s="43" t="s">
        <v>84</v>
      </c>
      <c r="E94" s="43" t="s">
        <v>228</v>
      </c>
      <c r="F94" s="42"/>
      <c r="G94" s="42"/>
      <c r="H94" s="62">
        <f>'ассигнов 3'!H95</f>
        <v>6</v>
      </c>
    </row>
    <row r="95" spans="1:8" ht="21" thickBot="1">
      <c r="A95" s="58" t="s">
        <v>226</v>
      </c>
      <c r="B95" s="118" t="s">
        <v>24</v>
      </c>
      <c r="C95" s="45">
        <v>966</v>
      </c>
      <c r="D95" s="46" t="s">
        <v>84</v>
      </c>
      <c r="E95" s="58" t="s">
        <v>228</v>
      </c>
      <c r="F95" s="45">
        <v>200</v>
      </c>
      <c r="G95" s="45"/>
      <c r="H95" s="51">
        <f>H96</f>
        <v>6</v>
      </c>
    </row>
    <row r="96" spans="1:8" ht="20.25" hidden="1">
      <c r="A96" s="1"/>
      <c r="B96" s="5" t="s">
        <v>108</v>
      </c>
      <c r="C96" s="108">
        <v>966</v>
      </c>
      <c r="D96" s="107" t="s">
        <v>84</v>
      </c>
      <c r="E96" s="1" t="s">
        <v>228</v>
      </c>
      <c r="F96" s="108">
        <v>240</v>
      </c>
      <c r="G96" s="108"/>
      <c r="H96" s="26">
        <f>H97</f>
        <v>6</v>
      </c>
    </row>
    <row r="97" spans="1:8" ht="20.25" hidden="1">
      <c r="A97" s="9"/>
      <c r="B97" s="115" t="s">
        <v>199</v>
      </c>
      <c r="C97" s="116">
        <v>966</v>
      </c>
      <c r="D97" s="117" t="s">
        <v>84</v>
      </c>
      <c r="E97" s="9" t="s">
        <v>228</v>
      </c>
      <c r="F97" s="116">
        <v>244</v>
      </c>
      <c r="G97" s="116"/>
      <c r="H97" s="25">
        <f>H98</f>
        <v>6</v>
      </c>
    </row>
    <row r="98" spans="1:8" ht="13.5" hidden="1" thickBot="1">
      <c r="A98" s="52"/>
      <c r="B98" s="6" t="s">
        <v>217</v>
      </c>
      <c r="C98" s="53">
        <v>966</v>
      </c>
      <c r="D98" s="46" t="s">
        <v>84</v>
      </c>
      <c r="E98" s="58" t="s">
        <v>228</v>
      </c>
      <c r="F98" s="45">
        <v>244</v>
      </c>
      <c r="G98" s="45">
        <v>340</v>
      </c>
      <c r="H98" s="51">
        <v>6</v>
      </c>
    </row>
    <row r="99" spans="1:8" ht="41.25" thickBot="1">
      <c r="A99" s="40" t="s">
        <v>95</v>
      </c>
      <c r="B99" s="41" t="s">
        <v>124</v>
      </c>
      <c r="C99" s="42"/>
      <c r="D99" s="43" t="s">
        <v>84</v>
      </c>
      <c r="E99" s="43" t="s">
        <v>229</v>
      </c>
      <c r="F99" s="42"/>
      <c r="G99" s="42"/>
      <c r="H99" s="62">
        <f>'ассигнов 3'!H100</f>
        <v>4106.2</v>
      </c>
    </row>
    <row r="100" spans="1:8" ht="40.5">
      <c r="A100" s="9" t="s">
        <v>96</v>
      </c>
      <c r="B100" s="10" t="s">
        <v>105</v>
      </c>
      <c r="C100" s="29">
        <v>966</v>
      </c>
      <c r="D100" s="9" t="s">
        <v>84</v>
      </c>
      <c r="E100" s="9" t="s">
        <v>229</v>
      </c>
      <c r="F100" s="29">
        <v>100</v>
      </c>
      <c r="G100" s="29"/>
      <c r="H100" s="25">
        <f>'ассигнов 3'!H101</f>
        <v>3875</v>
      </c>
    </row>
    <row r="101" spans="1:8" ht="20.25" hidden="1">
      <c r="A101" s="17"/>
      <c r="B101" s="20" t="s">
        <v>6</v>
      </c>
      <c r="C101" s="27">
        <v>966</v>
      </c>
      <c r="D101" s="9" t="s">
        <v>84</v>
      </c>
      <c r="E101" s="9" t="s">
        <v>229</v>
      </c>
      <c r="F101" s="27">
        <v>120</v>
      </c>
      <c r="G101" s="27"/>
      <c r="H101" s="26">
        <f>H102+H104+H107</f>
        <v>3888.5</v>
      </c>
    </row>
    <row r="102" spans="1:8" ht="12.75" hidden="1">
      <c r="A102" s="16"/>
      <c r="B102" s="20" t="s">
        <v>210</v>
      </c>
      <c r="C102" s="27">
        <v>966</v>
      </c>
      <c r="D102" s="9" t="s">
        <v>84</v>
      </c>
      <c r="E102" s="9" t="s">
        <v>229</v>
      </c>
      <c r="F102" s="22">
        <v>121</v>
      </c>
      <c r="G102" s="22"/>
      <c r="H102" s="25">
        <f>H103</f>
        <v>2940.6</v>
      </c>
    </row>
    <row r="103" spans="1:8" ht="12.75" hidden="1">
      <c r="A103" s="16"/>
      <c r="B103" s="20" t="s">
        <v>206</v>
      </c>
      <c r="C103" s="27">
        <v>966</v>
      </c>
      <c r="D103" s="9" t="s">
        <v>84</v>
      </c>
      <c r="E103" s="9" t="s">
        <v>229</v>
      </c>
      <c r="F103" s="22">
        <v>121</v>
      </c>
      <c r="G103" s="22">
        <v>211</v>
      </c>
      <c r="H103" s="25">
        <v>2940.6</v>
      </c>
    </row>
    <row r="104" spans="1:9" ht="20.25" hidden="1">
      <c r="A104" s="16"/>
      <c r="B104" s="20" t="s">
        <v>250</v>
      </c>
      <c r="C104" s="27">
        <v>966</v>
      </c>
      <c r="D104" s="9" t="s">
        <v>84</v>
      </c>
      <c r="E104" s="9" t="s">
        <v>229</v>
      </c>
      <c r="F104" s="22">
        <v>122</v>
      </c>
      <c r="G104" s="22"/>
      <c r="H104" s="25">
        <f>SUM(H105:H106)</f>
        <v>59.800000000000004</v>
      </c>
      <c r="I104" t="s">
        <v>251</v>
      </c>
    </row>
    <row r="105" spans="1:12" ht="12.75" hidden="1">
      <c r="A105" s="16"/>
      <c r="B105" s="20" t="s">
        <v>249</v>
      </c>
      <c r="C105" s="27">
        <v>966</v>
      </c>
      <c r="D105" s="9" t="s">
        <v>84</v>
      </c>
      <c r="E105" s="9" t="s">
        <v>229</v>
      </c>
      <c r="F105" s="22">
        <v>122</v>
      </c>
      <c r="G105" s="22">
        <v>212</v>
      </c>
      <c r="H105" s="25">
        <v>0.2</v>
      </c>
      <c r="I105" t="s">
        <v>251</v>
      </c>
      <c r="L105">
        <v>0.2</v>
      </c>
    </row>
    <row r="106" spans="1:12" ht="12.75" hidden="1">
      <c r="A106" s="16"/>
      <c r="B106" s="20" t="s">
        <v>216</v>
      </c>
      <c r="C106" s="27">
        <v>966</v>
      </c>
      <c r="D106" s="9" t="s">
        <v>84</v>
      </c>
      <c r="E106" s="9" t="s">
        <v>229</v>
      </c>
      <c r="F106" s="22">
        <v>122</v>
      </c>
      <c r="G106" s="22">
        <v>222</v>
      </c>
      <c r="H106" s="25">
        <f>80-20.4</f>
        <v>59.6</v>
      </c>
      <c r="I106" t="s">
        <v>251</v>
      </c>
      <c r="L106">
        <v>-20.4</v>
      </c>
    </row>
    <row r="107" spans="1:8" ht="30" hidden="1">
      <c r="A107" s="16"/>
      <c r="B107" s="20" t="s">
        <v>209</v>
      </c>
      <c r="C107" s="27">
        <v>966</v>
      </c>
      <c r="D107" s="9" t="s">
        <v>84</v>
      </c>
      <c r="E107" s="9" t="s">
        <v>229</v>
      </c>
      <c r="F107" s="22">
        <v>129</v>
      </c>
      <c r="G107" s="22"/>
      <c r="H107" s="25">
        <f>H108</f>
        <v>888.1</v>
      </c>
    </row>
    <row r="108" spans="1:8" ht="12.75" hidden="1">
      <c r="A108" s="16"/>
      <c r="B108" s="20" t="s">
        <v>207</v>
      </c>
      <c r="C108" s="27">
        <v>966</v>
      </c>
      <c r="D108" s="9" t="s">
        <v>84</v>
      </c>
      <c r="E108" s="9" t="s">
        <v>229</v>
      </c>
      <c r="F108" s="22">
        <v>129</v>
      </c>
      <c r="G108" s="22">
        <v>213</v>
      </c>
      <c r="H108" s="25">
        <v>888.1</v>
      </c>
    </row>
    <row r="109" spans="1:8" ht="21" thickBot="1">
      <c r="A109" s="9" t="s">
        <v>227</v>
      </c>
      <c r="B109" s="109" t="s">
        <v>24</v>
      </c>
      <c r="C109" s="27">
        <v>966</v>
      </c>
      <c r="D109" s="1" t="s">
        <v>84</v>
      </c>
      <c r="E109" s="9" t="s">
        <v>229</v>
      </c>
      <c r="F109" s="27">
        <v>200</v>
      </c>
      <c r="G109" s="27"/>
      <c r="H109" s="26">
        <f>'ассигнов 3'!H110</f>
        <v>231.2</v>
      </c>
    </row>
    <row r="110" spans="1:8" ht="20.25" hidden="1">
      <c r="A110" s="9"/>
      <c r="B110" s="5" t="s">
        <v>108</v>
      </c>
      <c r="C110" s="27">
        <v>966</v>
      </c>
      <c r="D110" s="1" t="s">
        <v>84</v>
      </c>
      <c r="E110" s="9" t="s">
        <v>229</v>
      </c>
      <c r="F110" s="27">
        <v>240</v>
      </c>
      <c r="G110" s="27"/>
      <c r="H110" s="26">
        <f>H111+H113</f>
        <v>217.7</v>
      </c>
    </row>
    <row r="111" spans="1:8" ht="20.25" hidden="1">
      <c r="A111" s="9"/>
      <c r="B111" s="7" t="s">
        <v>202</v>
      </c>
      <c r="C111" s="27">
        <v>966</v>
      </c>
      <c r="D111" s="1" t="s">
        <v>84</v>
      </c>
      <c r="E111" s="9" t="s">
        <v>229</v>
      </c>
      <c r="F111" s="27">
        <v>242</v>
      </c>
      <c r="G111" s="27"/>
      <c r="H111" s="240">
        <f>SUM(H112:H112)</f>
        <v>90</v>
      </c>
    </row>
    <row r="112" spans="1:8" ht="12.75" hidden="1">
      <c r="A112" s="17"/>
      <c r="B112" s="7" t="s">
        <v>211</v>
      </c>
      <c r="C112" s="27">
        <v>966</v>
      </c>
      <c r="D112" s="1" t="s">
        <v>84</v>
      </c>
      <c r="E112" s="9" t="s">
        <v>229</v>
      </c>
      <c r="F112" s="27">
        <v>242</v>
      </c>
      <c r="G112" s="27">
        <v>221</v>
      </c>
      <c r="H112" s="240">
        <f>87+3</f>
        <v>90</v>
      </c>
    </row>
    <row r="113" spans="1:8" ht="20.25" hidden="1">
      <c r="A113" s="17"/>
      <c r="B113" s="109" t="s">
        <v>199</v>
      </c>
      <c r="C113" s="27">
        <v>966</v>
      </c>
      <c r="D113" s="1" t="s">
        <v>84</v>
      </c>
      <c r="E113" s="9" t="s">
        <v>229</v>
      </c>
      <c r="F113" s="27">
        <v>244</v>
      </c>
      <c r="G113" s="27"/>
      <c r="H113" s="240">
        <f>SUM(H114:H117)</f>
        <v>127.7</v>
      </c>
    </row>
    <row r="114" spans="1:12" ht="12" customHeight="1" hidden="1">
      <c r="A114" s="17"/>
      <c r="B114" s="5" t="s">
        <v>211</v>
      </c>
      <c r="C114" s="27">
        <v>966</v>
      </c>
      <c r="D114" s="1" t="s">
        <v>84</v>
      </c>
      <c r="E114" s="9" t="s">
        <v>229</v>
      </c>
      <c r="F114" s="22">
        <v>244</v>
      </c>
      <c r="G114" s="22">
        <v>221</v>
      </c>
      <c r="H114" s="242">
        <v>0</v>
      </c>
      <c r="L114">
        <v>-96.9</v>
      </c>
    </row>
    <row r="115" spans="1:9" ht="10.5" customHeight="1" hidden="1">
      <c r="A115" s="17"/>
      <c r="B115" s="6" t="s">
        <v>216</v>
      </c>
      <c r="C115" s="27">
        <v>966</v>
      </c>
      <c r="D115" s="1" t="s">
        <v>84</v>
      </c>
      <c r="E115" s="9" t="s">
        <v>229</v>
      </c>
      <c r="F115" s="22">
        <v>244</v>
      </c>
      <c r="G115" s="22">
        <v>222</v>
      </c>
      <c r="H115" s="242">
        <f>80-80</f>
        <v>0</v>
      </c>
      <c r="I115" t="s">
        <v>251</v>
      </c>
    </row>
    <row r="116" spans="1:12" ht="12" customHeight="1" hidden="1">
      <c r="A116" s="17"/>
      <c r="B116" s="7" t="s">
        <v>208</v>
      </c>
      <c r="C116" s="27">
        <v>966</v>
      </c>
      <c r="D116" s="1" t="s">
        <v>84</v>
      </c>
      <c r="E116" s="9" t="s">
        <v>229</v>
      </c>
      <c r="F116" s="22">
        <v>244</v>
      </c>
      <c r="G116" s="22">
        <v>226</v>
      </c>
      <c r="H116" s="242">
        <v>0.7</v>
      </c>
      <c r="L116">
        <v>0.7</v>
      </c>
    </row>
    <row r="117" spans="1:12" ht="13.5" customHeight="1" hidden="1" thickBot="1">
      <c r="A117" s="17"/>
      <c r="B117" s="6" t="s">
        <v>217</v>
      </c>
      <c r="C117" s="27">
        <v>966</v>
      </c>
      <c r="D117" s="1" t="s">
        <v>84</v>
      </c>
      <c r="E117" s="9" t="s">
        <v>229</v>
      </c>
      <c r="F117" s="22">
        <v>244</v>
      </c>
      <c r="G117" s="23">
        <v>340</v>
      </c>
      <c r="H117" s="240">
        <f>10.6+20.4+96.9-0.2-0.7</f>
        <v>127</v>
      </c>
      <c r="L117">
        <f>20.4+96.9-0.2-0.7</f>
        <v>116.4</v>
      </c>
    </row>
    <row r="118" spans="1:8" ht="13.5" hidden="1" thickBot="1">
      <c r="A118" s="69" t="s">
        <v>25</v>
      </c>
      <c r="B118" s="70" t="s">
        <v>26</v>
      </c>
      <c r="C118" s="71">
        <v>966</v>
      </c>
      <c r="D118" s="72" t="s">
        <v>85</v>
      </c>
      <c r="E118" s="72"/>
      <c r="F118" s="71"/>
      <c r="G118" s="71"/>
      <c r="H118" s="73">
        <f>H119</f>
        <v>2.3092638912203256E-14</v>
      </c>
    </row>
    <row r="119" spans="1:8" ht="13.5" hidden="1" thickBot="1">
      <c r="A119" s="40" t="s">
        <v>94</v>
      </c>
      <c r="B119" s="74" t="s">
        <v>27</v>
      </c>
      <c r="C119" s="42">
        <v>966</v>
      </c>
      <c r="D119" s="43" t="s">
        <v>85</v>
      </c>
      <c r="E119" s="43" t="s">
        <v>173</v>
      </c>
      <c r="F119" s="42"/>
      <c r="G119" s="42"/>
      <c r="H119" s="62">
        <f>H120</f>
        <v>2.3092638912203256E-14</v>
      </c>
    </row>
    <row r="120" spans="1:8" ht="13.5" hidden="1" thickBot="1">
      <c r="A120" s="16" t="s">
        <v>28</v>
      </c>
      <c r="B120" s="34" t="s">
        <v>109</v>
      </c>
      <c r="C120" s="22">
        <v>966</v>
      </c>
      <c r="D120" s="16" t="s">
        <v>85</v>
      </c>
      <c r="E120" s="57" t="s">
        <v>173</v>
      </c>
      <c r="F120" s="22">
        <v>800</v>
      </c>
      <c r="G120" s="22"/>
      <c r="H120" s="25">
        <f>'ассигнов 3'!H121</f>
        <v>2.3092638912203256E-14</v>
      </c>
    </row>
    <row r="121" spans="1:8" ht="12.75" hidden="1">
      <c r="A121" s="17"/>
      <c r="B121" s="5" t="s">
        <v>29</v>
      </c>
      <c r="C121" s="23">
        <v>966</v>
      </c>
      <c r="D121" s="17" t="s">
        <v>85</v>
      </c>
      <c r="E121" s="1" t="s">
        <v>173</v>
      </c>
      <c r="F121" s="23">
        <v>870</v>
      </c>
      <c r="G121" s="23"/>
      <c r="H121" s="26">
        <f>H122</f>
        <v>12.600000000000023</v>
      </c>
    </row>
    <row r="122" spans="1:8" ht="13.5" hidden="1" thickBot="1">
      <c r="A122" s="111"/>
      <c r="B122" s="114" t="s">
        <v>203</v>
      </c>
      <c r="C122" s="27">
        <v>966</v>
      </c>
      <c r="D122" s="17" t="s">
        <v>85</v>
      </c>
      <c r="E122" s="105" t="s">
        <v>173</v>
      </c>
      <c r="F122" s="23">
        <v>870</v>
      </c>
      <c r="G122" s="45">
        <v>290</v>
      </c>
      <c r="H122" s="112">
        <f>100+190-277.4</f>
        <v>12.600000000000023</v>
      </c>
    </row>
    <row r="123" spans="1:8" ht="13.5" thickBot="1">
      <c r="A123" s="69" t="s">
        <v>30</v>
      </c>
      <c r="B123" s="70" t="s">
        <v>13</v>
      </c>
      <c r="C123" s="71">
        <v>966</v>
      </c>
      <c r="D123" s="72" t="s">
        <v>83</v>
      </c>
      <c r="E123" s="72"/>
      <c r="F123" s="71"/>
      <c r="G123" s="71"/>
      <c r="H123" s="73">
        <f>H124+H129+H135+H140+H147+H154+H161+H167+H172+H177</f>
        <v>2632.5</v>
      </c>
    </row>
    <row r="124" spans="1:8" ht="30.75" hidden="1" thickBot="1">
      <c r="A124" s="40" t="s">
        <v>31</v>
      </c>
      <c r="B124" s="41" t="s">
        <v>115</v>
      </c>
      <c r="C124" s="42">
        <v>966</v>
      </c>
      <c r="D124" s="43" t="s">
        <v>83</v>
      </c>
      <c r="E124" s="43" t="s">
        <v>174</v>
      </c>
      <c r="F124" s="42"/>
      <c r="G124" s="42"/>
      <c r="H124" s="62">
        <f>H125</f>
        <v>0</v>
      </c>
    </row>
    <row r="125" spans="1:8" ht="21" hidden="1" thickBot="1">
      <c r="A125" s="16" t="s">
        <v>32</v>
      </c>
      <c r="B125" s="33" t="s">
        <v>24</v>
      </c>
      <c r="C125" s="22">
        <v>966</v>
      </c>
      <c r="D125" s="16" t="s">
        <v>83</v>
      </c>
      <c r="E125" s="57" t="s">
        <v>174</v>
      </c>
      <c r="F125" s="22">
        <v>200</v>
      </c>
      <c r="G125" s="22"/>
      <c r="H125" s="25">
        <f>H126</f>
        <v>0</v>
      </c>
    </row>
    <row r="126" spans="1:8" ht="20.25" hidden="1">
      <c r="A126" s="16"/>
      <c r="B126" s="5" t="s">
        <v>108</v>
      </c>
      <c r="C126" s="22">
        <v>966</v>
      </c>
      <c r="D126" s="16" t="s">
        <v>83</v>
      </c>
      <c r="E126" s="1" t="s">
        <v>174</v>
      </c>
      <c r="F126" s="22">
        <v>240</v>
      </c>
      <c r="G126" s="22"/>
      <c r="H126" s="25">
        <f>H127</f>
        <v>0</v>
      </c>
    </row>
    <row r="127" spans="1:8" ht="20.25" hidden="1">
      <c r="A127" s="16"/>
      <c r="B127" s="35" t="s">
        <v>199</v>
      </c>
      <c r="C127" s="22">
        <v>966</v>
      </c>
      <c r="D127" s="16" t="s">
        <v>83</v>
      </c>
      <c r="E127" s="1" t="s">
        <v>174</v>
      </c>
      <c r="F127" s="22">
        <v>244</v>
      </c>
      <c r="G127" s="22"/>
      <c r="H127" s="25">
        <f>H128</f>
        <v>0</v>
      </c>
    </row>
    <row r="128" spans="1:10" ht="13.5" hidden="1" thickBot="1">
      <c r="A128" s="46"/>
      <c r="B128" s="5" t="s">
        <v>208</v>
      </c>
      <c r="C128" s="45">
        <v>966</v>
      </c>
      <c r="D128" s="46" t="s">
        <v>83</v>
      </c>
      <c r="E128" s="58" t="s">
        <v>174</v>
      </c>
      <c r="F128" s="45">
        <v>244</v>
      </c>
      <c r="G128" s="45">
        <v>226</v>
      </c>
      <c r="H128" s="51">
        <f>100-100</f>
        <v>0</v>
      </c>
      <c r="J128">
        <v>1</v>
      </c>
    </row>
    <row r="129" spans="1:8" ht="51" thickBot="1">
      <c r="A129" s="40" t="s">
        <v>31</v>
      </c>
      <c r="B129" s="41" t="s">
        <v>121</v>
      </c>
      <c r="C129" s="42">
        <v>966</v>
      </c>
      <c r="D129" s="43" t="s">
        <v>83</v>
      </c>
      <c r="E129" s="43" t="s">
        <v>175</v>
      </c>
      <c r="F129" s="42"/>
      <c r="G129" s="42"/>
      <c r="H129" s="62">
        <f>'ассигнов 3'!H130</f>
        <v>4.7</v>
      </c>
    </row>
    <row r="130" spans="1:8" ht="21" thickBot="1">
      <c r="A130" s="16" t="s">
        <v>32</v>
      </c>
      <c r="B130" s="47" t="s">
        <v>24</v>
      </c>
      <c r="C130" s="29">
        <v>966</v>
      </c>
      <c r="D130" s="9" t="s">
        <v>83</v>
      </c>
      <c r="E130" s="58" t="s">
        <v>175</v>
      </c>
      <c r="F130" s="29">
        <v>200</v>
      </c>
      <c r="G130" s="29"/>
      <c r="H130" s="25">
        <f>'ассигнов 3'!H131</f>
        <v>4.7</v>
      </c>
    </row>
    <row r="131" spans="1:8" ht="20.25" hidden="1">
      <c r="A131" s="16"/>
      <c r="B131" s="5" t="s">
        <v>108</v>
      </c>
      <c r="C131" s="29">
        <v>966</v>
      </c>
      <c r="D131" s="9" t="s">
        <v>83</v>
      </c>
      <c r="E131" s="1" t="s">
        <v>175</v>
      </c>
      <c r="F131" s="29">
        <v>240</v>
      </c>
      <c r="G131" s="29"/>
      <c r="H131" s="25">
        <f>H132</f>
        <v>4.7</v>
      </c>
    </row>
    <row r="132" spans="1:8" ht="20.25" hidden="1">
      <c r="A132" s="16"/>
      <c r="B132" s="35" t="s">
        <v>199</v>
      </c>
      <c r="C132" s="29">
        <v>966</v>
      </c>
      <c r="D132" s="9" t="s">
        <v>83</v>
      </c>
      <c r="E132" s="1" t="s">
        <v>175</v>
      </c>
      <c r="F132" s="29">
        <v>244</v>
      </c>
      <c r="G132" s="29"/>
      <c r="H132" s="25">
        <f>H134+H133</f>
        <v>4.7</v>
      </c>
    </row>
    <row r="133" spans="1:12" ht="13.5" hidden="1" thickBot="1">
      <c r="A133" s="107"/>
      <c r="B133" s="147" t="s">
        <v>208</v>
      </c>
      <c r="C133" s="29">
        <v>966</v>
      </c>
      <c r="D133" s="9" t="s">
        <v>83</v>
      </c>
      <c r="E133" s="105" t="s">
        <v>175</v>
      </c>
      <c r="F133" s="29">
        <v>244</v>
      </c>
      <c r="G133" s="27">
        <v>226</v>
      </c>
      <c r="H133" s="26">
        <f>100-100</f>
        <v>0</v>
      </c>
      <c r="L133">
        <v>-100</v>
      </c>
    </row>
    <row r="134" spans="1:8" ht="13.5" hidden="1" thickBot="1">
      <c r="A134" s="16"/>
      <c r="B134" s="4" t="s">
        <v>217</v>
      </c>
      <c r="C134" s="29">
        <v>966</v>
      </c>
      <c r="D134" s="9" t="s">
        <v>83</v>
      </c>
      <c r="E134" s="105" t="s">
        <v>175</v>
      </c>
      <c r="F134" s="29">
        <v>244</v>
      </c>
      <c r="G134" s="29">
        <v>340</v>
      </c>
      <c r="H134" s="25">
        <f>6-1.3</f>
        <v>4.7</v>
      </c>
    </row>
    <row r="135" spans="1:8" ht="30.75" thickBot="1">
      <c r="A135" s="40" t="s">
        <v>33</v>
      </c>
      <c r="B135" s="41" t="s">
        <v>120</v>
      </c>
      <c r="C135" s="42">
        <v>966</v>
      </c>
      <c r="D135" s="43" t="s">
        <v>83</v>
      </c>
      <c r="E135" s="43" t="s">
        <v>176</v>
      </c>
      <c r="F135" s="42"/>
      <c r="G135" s="42"/>
      <c r="H135" s="62">
        <f>'ассигнов 3'!H136</f>
        <v>90</v>
      </c>
    </row>
    <row r="136" spans="1:8" ht="21" thickBot="1">
      <c r="A136" s="16" t="s">
        <v>34</v>
      </c>
      <c r="B136" s="33" t="s">
        <v>24</v>
      </c>
      <c r="C136" s="22">
        <v>966</v>
      </c>
      <c r="D136" s="16" t="s">
        <v>83</v>
      </c>
      <c r="E136" s="9" t="s">
        <v>176</v>
      </c>
      <c r="F136" s="22">
        <v>200</v>
      </c>
      <c r="G136" s="22"/>
      <c r="H136" s="25">
        <f>'ассигнов 3'!H137</f>
        <v>90</v>
      </c>
    </row>
    <row r="137" spans="1:8" ht="20.25" hidden="1">
      <c r="A137" s="16"/>
      <c r="B137" s="5" t="s">
        <v>108</v>
      </c>
      <c r="C137" s="22">
        <v>966</v>
      </c>
      <c r="D137" s="16" t="s">
        <v>83</v>
      </c>
      <c r="E137" s="9" t="s">
        <v>176</v>
      </c>
      <c r="F137" s="22">
        <v>240</v>
      </c>
      <c r="G137" s="22"/>
      <c r="H137" s="25">
        <f>H138</f>
        <v>90</v>
      </c>
    </row>
    <row r="138" spans="1:8" ht="20.25" hidden="1">
      <c r="A138" s="16"/>
      <c r="B138" s="5" t="s">
        <v>199</v>
      </c>
      <c r="C138" s="29">
        <v>966</v>
      </c>
      <c r="D138" s="9" t="s">
        <v>83</v>
      </c>
      <c r="E138" s="9" t="s">
        <v>176</v>
      </c>
      <c r="F138" s="29">
        <v>244</v>
      </c>
      <c r="G138" s="120"/>
      <c r="H138" s="25">
        <f>H139</f>
        <v>90</v>
      </c>
    </row>
    <row r="139" spans="1:12" ht="13.5" hidden="1" thickBot="1">
      <c r="A139" s="16"/>
      <c r="B139" s="5" t="s">
        <v>203</v>
      </c>
      <c r="C139" s="22">
        <v>966</v>
      </c>
      <c r="D139" s="16" t="s">
        <v>83</v>
      </c>
      <c r="E139" s="9" t="s">
        <v>176</v>
      </c>
      <c r="F139" s="22">
        <v>244</v>
      </c>
      <c r="G139" s="22">
        <v>290</v>
      </c>
      <c r="H139" s="25">
        <f>140+378.5-500+71.5</f>
        <v>90</v>
      </c>
      <c r="L139">
        <v>71.5</v>
      </c>
    </row>
    <row r="140" spans="1:8" ht="21" thickBot="1">
      <c r="A140" s="40" t="s">
        <v>35</v>
      </c>
      <c r="B140" s="41" t="s">
        <v>114</v>
      </c>
      <c r="C140" s="42">
        <v>966</v>
      </c>
      <c r="D140" s="43" t="s">
        <v>83</v>
      </c>
      <c r="E140" s="43" t="s">
        <v>192</v>
      </c>
      <c r="F140" s="42"/>
      <c r="G140" s="42"/>
      <c r="H140" s="62">
        <f>'ассигнов 3'!H141</f>
        <v>651.8</v>
      </c>
    </row>
    <row r="141" spans="1:8" ht="21" thickBot="1">
      <c r="A141" s="16" t="s">
        <v>36</v>
      </c>
      <c r="B141" s="33" t="s">
        <v>24</v>
      </c>
      <c r="C141" s="22">
        <v>966</v>
      </c>
      <c r="D141" s="16" t="s">
        <v>83</v>
      </c>
      <c r="E141" s="9" t="s">
        <v>192</v>
      </c>
      <c r="F141" s="22">
        <v>200</v>
      </c>
      <c r="G141" s="22"/>
      <c r="H141" s="25">
        <f>'ассигнов 3'!H142</f>
        <v>651.8</v>
      </c>
    </row>
    <row r="142" spans="1:8" ht="20.25" hidden="1">
      <c r="A142" s="16"/>
      <c r="B142" s="5" t="s">
        <v>108</v>
      </c>
      <c r="C142" s="22">
        <v>966</v>
      </c>
      <c r="D142" s="16" t="s">
        <v>83</v>
      </c>
      <c r="E142" s="9" t="s">
        <v>192</v>
      </c>
      <c r="F142" s="22">
        <v>240</v>
      </c>
      <c r="G142" s="22"/>
      <c r="H142" s="25">
        <f>H143</f>
        <v>651.8</v>
      </c>
    </row>
    <row r="143" spans="1:8" ht="20.25" hidden="1">
      <c r="A143" s="16"/>
      <c r="B143" s="5" t="s">
        <v>199</v>
      </c>
      <c r="C143" s="22">
        <v>966</v>
      </c>
      <c r="D143" s="16" t="s">
        <v>83</v>
      </c>
      <c r="E143" s="9" t="s">
        <v>192</v>
      </c>
      <c r="F143" s="22">
        <v>244</v>
      </c>
      <c r="G143" s="22"/>
      <c r="H143" s="25">
        <f>H144+H146+H145</f>
        <v>651.8</v>
      </c>
    </row>
    <row r="144" spans="1:11" ht="12.75" hidden="1">
      <c r="A144" s="16"/>
      <c r="B144" s="5" t="s">
        <v>208</v>
      </c>
      <c r="C144" s="22">
        <v>966</v>
      </c>
      <c r="D144" s="16" t="s">
        <v>83</v>
      </c>
      <c r="E144" s="9" t="s">
        <v>192</v>
      </c>
      <c r="F144" s="22">
        <v>244</v>
      </c>
      <c r="G144" s="22">
        <v>226</v>
      </c>
      <c r="H144" s="25">
        <f>270-270</f>
        <v>0</v>
      </c>
      <c r="K144">
        <v>33</v>
      </c>
    </row>
    <row r="145" spans="1:11" ht="12.75" hidden="1">
      <c r="A145" s="16"/>
      <c r="B145" s="5" t="s">
        <v>218</v>
      </c>
      <c r="C145" s="22">
        <v>966</v>
      </c>
      <c r="D145" s="16" t="s">
        <v>83</v>
      </c>
      <c r="E145" s="9" t="s">
        <v>192</v>
      </c>
      <c r="F145" s="22">
        <v>244</v>
      </c>
      <c r="G145" s="22">
        <v>310</v>
      </c>
      <c r="H145" s="25">
        <f>647-348</f>
        <v>299</v>
      </c>
      <c r="K145">
        <v>33</v>
      </c>
    </row>
    <row r="146" spans="1:11" ht="13.5" hidden="1" thickBot="1">
      <c r="A146" s="111"/>
      <c r="B146" s="104" t="s">
        <v>217</v>
      </c>
      <c r="C146" s="22">
        <v>966</v>
      </c>
      <c r="D146" s="16" t="s">
        <v>83</v>
      </c>
      <c r="E146" s="9" t="s">
        <v>192</v>
      </c>
      <c r="F146" s="45">
        <v>244</v>
      </c>
      <c r="G146" s="45">
        <v>340</v>
      </c>
      <c r="H146" s="112">
        <f>353-0.2</f>
        <v>352.8</v>
      </c>
      <c r="J146">
        <v>1</v>
      </c>
      <c r="K146">
        <v>33</v>
      </c>
    </row>
    <row r="147" spans="1:8" ht="51" thickBot="1">
      <c r="A147" s="40" t="s">
        <v>37</v>
      </c>
      <c r="B147" s="41" t="s">
        <v>119</v>
      </c>
      <c r="C147" s="42">
        <v>966</v>
      </c>
      <c r="D147" s="43" t="s">
        <v>83</v>
      </c>
      <c r="E147" s="43" t="s">
        <v>177</v>
      </c>
      <c r="F147" s="42"/>
      <c r="G147" s="42"/>
      <c r="H147" s="62">
        <f>H148</f>
        <v>94.3</v>
      </c>
    </row>
    <row r="148" spans="1:8" ht="21" thickBot="1">
      <c r="A148" s="16" t="s">
        <v>38</v>
      </c>
      <c r="B148" s="33" t="s">
        <v>24</v>
      </c>
      <c r="C148" s="22">
        <v>966</v>
      </c>
      <c r="D148" s="16" t="s">
        <v>83</v>
      </c>
      <c r="E148" s="9" t="s">
        <v>177</v>
      </c>
      <c r="F148" s="22">
        <v>200</v>
      </c>
      <c r="G148" s="22"/>
      <c r="H148" s="25">
        <f>'ассигнов 3'!H149</f>
        <v>94.3</v>
      </c>
    </row>
    <row r="149" spans="1:8" ht="20.25" hidden="1">
      <c r="A149" s="16"/>
      <c r="B149" s="5" t="s">
        <v>108</v>
      </c>
      <c r="C149" s="22">
        <v>966</v>
      </c>
      <c r="D149" s="16" t="s">
        <v>83</v>
      </c>
      <c r="E149" s="9" t="s">
        <v>177</v>
      </c>
      <c r="F149" s="22">
        <v>240</v>
      </c>
      <c r="G149" s="22"/>
      <c r="H149" s="26">
        <f>H150</f>
        <v>94.3</v>
      </c>
    </row>
    <row r="150" spans="1:8" ht="20.25" hidden="1">
      <c r="A150" s="16"/>
      <c r="B150" s="35" t="s">
        <v>199</v>
      </c>
      <c r="C150" s="22">
        <v>966</v>
      </c>
      <c r="D150" s="16" t="s">
        <v>83</v>
      </c>
      <c r="E150" s="9" t="s">
        <v>177</v>
      </c>
      <c r="F150" s="22">
        <v>244</v>
      </c>
      <c r="G150" s="22"/>
      <c r="H150" s="26">
        <f>H153+H152</f>
        <v>94.3</v>
      </c>
    </row>
    <row r="151" spans="1:12" ht="12.75" hidden="1">
      <c r="A151" s="117"/>
      <c r="B151" s="147" t="s">
        <v>208</v>
      </c>
      <c r="C151" s="116">
        <v>966</v>
      </c>
      <c r="D151" s="117" t="s">
        <v>83</v>
      </c>
      <c r="E151" s="9" t="s">
        <v>177</v>
      </c>
      <c r="F151" s="116">
        <v>244</v>
      </c>
      <c r="G151" s="116">
        <v>226</v>
      </c>
      <c r="H151" s="25">
        <f>100-100</f>
        <v>0</v>
      </c>
      <c r="L151">
        <v>-100</v>
      </c>
    </row>
    <row r="152" spans="1:12" ht="12.75" hidden="1">
      <c r="A152" s="117"/>
      <c r="B152" s="147" t="s">
        <v>203</v>
      </c>
      <c r="C152" s="116">
        <v>966</v>
      </c>
      <c r="D152" s="117" t="s">
        <v>83</v>
      </c>
      <c r="E152" s="9" t="s">
        <v>177</v>
      </c>
      <c r="F152" s="116">
        <v>244</v>
      </c>
      <c r="G152" s="116">
        <v>290</v>
      </c>
      <c r="H152" s="25">
        <f>100-10</f>
        <v>90</v>
      </c>
      <c r="L152">
        <v>90</v>
      </c>
    </row>
    <row r="153" spans="1:10" ht="13.5" hidden="1" thickBot="1">
      <c r="A153" s="16"/>
      <c r="B153" s="5" t="s">
        <v>217</v>
      </c>
      <c r="C153" s="22">
        <v>966</v>
      </c>
      <c r="D153" s="16" t="s">
        <v>83</v>
      </c>
      <c r="E153" s="9" t="s">
        <v>177</v>
      </c>
      <c r="F153" s="22">
        <v>244</v>
      </c>
      <c r="G153" s="22">
        <v>340</v>
      </c>
      <c r="H153" s="25">
        <f>5.5-1.2</f>
        <v>4.3</v>
      </c>
      <c r="J153">
        <v>1</v>
      </c>
    </row>
    <row r="154" spans="1:8" ht="30.75" thickBot="1">
      <c r="A154" s="40" t="s">
        <v>39</v>
      </c>
      <c r="B154" s="41" t="s">
        <v>118</v>
      </c>
      <c r="C154" s="42">
        <v>966</v>
      </c>
      <c r="D154" s="43" t="s">
        <v>83</v>
      </c>
      <c r="E154" s="43" t="s">
        <v>230</v>
      </c>
      <c r="F154" s="42"/>
      <c r="G154" s="42"/>
      <c r="H154" s="62">
        <f>H155</f>
        <v>94.2</v>
      </c>
    </row>
    <row r="155" spans="1:8" ht="21" thickBot="1">
      <c r="A155" s="16" t="s">
        <v>426</v>
      </c>
      <c r="B155" s="33" t="s">
        <v>24</v>
      </c>
      <c r="C155" s="22">
        <v>966</v>
      </c>
      <c r="D155" s="16" t="s">
        <v>83</v>
      </c>
      <c r="E155" s="9" t="s">
        <v>230</v>
      </c>
      <c r="F155" s="22">
        <v>200</v>
      </c>
      <c r="G155" s="22"/>
      <c r="H155" s="25">
        <f>'ассигнов 3'!H156</f>
        <v>94.2</v>
      </c>
    </row>
    <row r="156" spans="1:8" ht="20.25" hidden="1">
      <c r="A156" s="16"/>
      <c r="B156" s="5" t="s">
        <v>108</v>
      </c>
      <c r="C156" s="22">
        <v>966</v>
      </c>
      <c r="D156" s="16" t="s">
        <v>83</v>
      </c>
      <c r="E156" s="9" t="s">
        <v>230</v>
      </c>
      <c r="F156" s="22">
        <v>240</v>
      </c>
      <c r="G156" s="22"/>
      <c r="H156" s="26">
        <f>H157</f>
        <v>94.2</v>
      </c>
    </row>
    <row r="157" spans="1:8" ht="20.25" hidden="1">
      <c r="A157" s="16"/>
      <c r="B157" s="35" t="s">
        <v>199</v>
      </c>
      <c r="C157" s="22">
        <v>966</v>
      </c>
      <c r="D157" s="16" t="s">
        <v>83</v>
      </c>
      <c r="E157" s="9" t="s">
        <v>230</v>
      </c>
      <c r="F157" s="22">
        <v>244</v>
      </c>
      <c r="G157" s="22"/>
      <c r="H157" s="26">
        <f>SUM(H159:H160)</f>
        <v>94.2</v>
      </c>
    </row>
    <row r="158" spans="1:10" ht="12.75" hidden="1">
      <c r="A158" s="16"/>
      <c r="B158" s="5" t="s">
        <v>208</v>
      </c>
      <c r="C158" s="22">
        <v>966</v>
      </c>
      <c r="D158" s="16" t="s">
        <v>83</v>
      </c>
      <c r="E158" s="9" t="s">
        <v>230</v>
      </c>
      <c r="F158" s="22">
        <v>244</v>
      </c>
      <c r="G158" s="22">
        <v>226</v>
      </c>
      <c r="H158" s="25">
        <f>90-90</f>
        <v>0</v>
      </c>
      <c r="J158">
        <v>1</v>
      </c>
    </row>
    <row r="159" spans="1:12" ht="12.75" hidden="1">
      <c r="A159" s="16"/>
      <c r="B159" s="5" t="s">
        <v>203</v>
      </c>
      <c r="C159" s="22">
        <v>966</v>
      </c>
      <c r="D159" s="16" t="s">
        <v>83</v>
      </c>
      <c r="E159" s="9" t="s">
        <v>230</v>
      </c>
      <c r="F159" s="22">
        <v>244</v>
      </c>
      <c r="G159" s="22">
        <v>290</v>
      </c>
      <c r="H159" s="25">
        <v>90</v>
      </c>
      <c r="J159">
        <v>1</v>
      </c>
      <c r="L159">
        <v>90</v>
      </c>
    </row>
    <row r="160" spans="1:10" ht="13.5" hidden="1" thickBot="1">
      <c r="A160" s="16"/>
      <c r="B160" s="5" t="s">
        <v>217</v>
      </c>
      <c r="C160" s="22">
        <v>966</v>
      </c>
      <c r="D160" s="16" t="s">
        <v>83</v>
      </c>
      <c r="E160" s="9" t="s">
        <v>230</v>
      </c>
      <c r="F160" s="22">
        <v>244</v>
      </c>
      <c r="G160" s="22">
        <v>340</v>
      </c>
      <c r="H160" s="25">
        <f>5.5-1.3</f>
        <v>4.2</v>
      </c>
      <c r="J160">
        <v>1</v>
      </c>
    </row>
    <row r="161" spans="1:8" ht="61.5" thickBot="1">
      <c r="A161" s="40" t="s">
        <v>40</v>
      </c>
      <c r="B161" s="41" t="s">
        <v>117</v>
      </c>
      <c r="C161" s="42">
        <v>966</v>
      </c>
      <c r="D161" s="43" t="s">
        <v>83</v>
      </c>
      <c r="E161" s="43" t="s">
        <v>178</v>
      </c>
      <c r="F161" s="42"/>
      <c r="G161" s="42"/>
      <c r="H161" s="62">
        <f>H162</f>
        <v>94.2</v>
      </c>
    </row>
    <row r="162" spans="1:8" ht="21" thickBot="1">
      <c r="A162" s="16" t="s">
        <v>98</v>
      </c>
      <c r="B162" s="115" t="s">
        <v>24</v>
      </c>
      <c r="C162" s="22">
        <v>966</v>
      </c>
      <c r="D162" s="16" t="s">
        <v>83</v>
      </c>
      <c r="E162" s="9" t="s">
        <v>178</v>
      </c>
      <c r="F162" s="22">
        <v>200</v>
      </c>
      <c r="G162" s="22"/>
      <c r="H162" s="25">
        <f>'ассигнов 3'!H163</f>
        <v>94.2</v>
      </c>
    </row>
    <row r="163" spans="1:8" ht="20.25" hidden="1">
      <c r="A163" s="17"/>
      <c r="B163" s="5" t="s">
        <v>108</v>
      </c>
      <c r="C163" s="23">
        <v>966</v>
      </c>
      <c r="D163" s="17" t="s">
        <v>83</v>
      </c>
      <c r="E163" s="1" t="s">
        <v>178</v>
      </c>
      <c r="F163" s="23">
        <v>240</v>
      </c>
      <c r="G163" s="23"/>
      <c r="H163" s="26">
        <f>H164</f>
        <v>94.2</v>
      </c>
    </row>
    <row r="164" spans="1:8" ht="20.25" hidden="1">
      <c r="A164" s="17"/>
      <c r="B164" s="35" t="s">
        <v>199</v>
      </c>
      <c r="C164" s="23">
        <v>966</v>
      </c>
      <c r="D164" s="17" t="s">
        <v>83</v>
      </c>
      <c r="E164" s="1" t="s">
        <v>178</v>
      </c>
      <c r="F164" s="23">
        <v>244</v>
      </c>
      <c r="G164" s="23"/>
      <c r="H164" s="26">
        <f>H166+H165</f>
        <v>94.2</v>
      </c>
    </row>
    <row r="165" spans="1:12" ht="12.75" hidden="1">
      <c r="A165" s="117"/>
      <c r="B165" s="147" t="s">
        <v>203</v>
      </c>
      <c r="C165" s="108">
        <v>966</v>
      </c>
      <c r="D165" s="107" t="s">
        <v>83</v>
      </c>
      <c r="E165" s="1" t="s">
        <v>178</v>
      </c>
      <c r="F165" s="108">
        <v>244</v>
      </c>
      <c r="G165" s="116">
        <v>290</v>
      </c>
      <c r="H165" s="25">
        <f>100-10</f>
        <v>90</v>
      </c>
      <c r="L165">
        <v>-10</v>
      </c>
    </row>
    <row r="166" spans="1:12" ht="13.5" hidden="1" thickBot="1">
      <c r="A166" s="16"/>
      <c r="B166" s="5" t="s">
        <v>217</v>
      </c>
      <c r="C166" s="22">
        <v>966</v>
      </c>
      <c r="D166" s="16" t="s">
        <v>83</v>
      </c>
      <c r="E166" s="9" t="s">
        <v>178</v>
      </c>
      <c r="F166" s="22">
        <v>244</v>
      </c>
      <c r="G166" s="22">
        <v>340</v>
      </c>
      <c r="H166" s="25">
        <f>5.5-1.2-0.1</f>
        <v>4.2</v>
      </c>
      <c r="J166">
        <v>1</v>
      </c>
      <c r="L166">
        <v>-0.1</v>
      </c>
    </row>
    <row r="167" spans="1:8" ht="21" thickBot="1">
      <c r="A167" s="40" t="s">
        <v>41</v>
      </c>
      <c r="B167" s="41" t="s">
        <v>116</v>
      </c>
      <c r="C167" s="42">
        <v>966</v>
      </c>
      <c r="D167" s="43" t="s">
        <v>83</v>
      </c>
      <c r="E167" s="43" t="s">
        <v>179</v>
      </c>
      <c r="F167" s="42"/>
      <c r="G167" s="42"/>
      <c r="H167" s="62">
        <f>H168</f>
        <v>198</v>
      </c>
    </row>
    <row r="168" spans="1:8" ht="21" thickBot="1">
      <c r="A168" s="16" t="s">
        <v>42</v>
      </c>
      <c r="B168" s="33" t="s">
        <v>24</v>
      </c>
      <c r="C168" s="22">
        <v>966</v>
      </c>
      <c r="D168" s="16" t="s">
        <v>83</v>
      </c>
      <c r="E168" s="9" t="s">
        <v>179</v>
      </c>
      <c r="F168" s="22">
        <v>200</v>
      </c>
      <c r="G168" s="22"/>
      <c r="H168" s="25">
        <f>'ассигнов 3'!H169</f>
        <v>198</v>
      </c>
    </row>
    <row r="169" spans="1:8" ht="20.25" hidden="1">
      <c r="A169" s="16"/>
      <c r="B169" s="5" t="s">
        <v>108</v>
      </c>
      <c r="C169" s="22">
        <v>966</v>
      </c>
      <c r="D169" s="16" t="s">
        <v>83</v>
      </c>
      <c r="E169" s="9" t="s">
        <v>179</v>
      </c>
      <c r="F169" s="22">
        <v>240</v>
      </c>
      <c r="G169" s="22"/>
      <c r="H169" s="25">
        <f>H170</f>
        <v>208</v>
      </c>
    </row>
    <row r="170" spans="1:8" ht="20.25" hidden="1">
      <c r="A170" s="16"/>
      <c r="B170" s="35" t="s">
        <v>199</v>
      </c>
      <c r="C170" s="22">
        <v>966</v>
      </c>
      <c r="D170" s="16" t="s">
        <v>83</v>
      </c>
      <c r="E170" s="9" t="s">
        <v>179</v>
      </c>
      <c r="F170" s="22">
        <v>244</v>
      </c>
      <c r="G170" s="22"/>
      <c r="H170" s="25">
        <f>H171</f>
        <v>208</v>
      </c>
    </row>
    <row r="171" spans="1:12" ht="13.5" hidden="1" thickBot="1">
      <c r="A171" s="16"/>
      <c r="B171" s="5" t="s">
        <v>208</v>
      </c>
      <c r="C171" s="22">
        <v>966</v>
      </c>
      <c r="D171" s="16" t="s">
        <v>83</v>
      </c>
      <c r="E171" s="9" t="s">
        <v>179</v>
      </c>
      <c r="F171" s="22">
        <v>244</v>
      </c>
      <c r="G171" s="22">
        <v>226</v>
      </c>
      <c r="H171" s="25">
        <f>220-22+10</f>
        <v>208</v>
      </c>
      <c r="L171">
        <v>10</v>
      </c>
    </row>
    <row r="172" spans="1:8" ht="30.75" thickBot="1">
      <c r="A172" s="40" t="s">
        <v>101</v>
      </c>
      <c r="B172" s="41" t="s">
        <v>165</v>
      </c>
      <c r="C172" s="42">
        <v>966</v>
      </c>
      <c r="D172" s="43" t="s">
        <v>83</v>
      </c>
      <c r="E172" s="43" t="s">
        <v>180</v>
      </c>
      <c r="F172" s="42"/>
      <c r="G172" s="42"/>
      <c r="H172" s="62">
        <f>H173</f>
        <v>19.3</v>
      </c>
    </row>
    <row r="173" spans="1:8" ht="21" thickBot="1">
      <c r="A173" s="46" t="s">
        <v>427</v>
      </c>
      <c r="B173" s="44" t="s">
        <v>24</v>
      </c>
      <c r="C173" s="45">
        <v>966</v>
      </c>
      <c r="D173" s="46" t="s">
        <v>83</v>
      </c>
      <c r="E173" s="58" t="s">
        <v>180</v>
      </c>
      <c r="F173" s="45">
        <v>200</v>
      </c>
      <c r="G173" s="45"/>
      <c r="H173" s="51">
        <f>'ассигнов 3'!H174</f>
        <v>19.3</v>
      </c>
    </row>
    <row r="174" spans="1:8" ht="20.25" hidden="1">
      <c r="A174" s="107"/>
      <c r="B174" s="5" t="s">
        <v>108</v>
      </c>
      <c r="C174" s="108">
        <v>966</v>
      </c>
      <c r="D174" s="107" t="s">
        <v>83</v>
      </c>
      <c r="E174" s="1" t="s">
        <v>180</v>
      </c>
      <c r="F174" s="108">
        <v>240</v>
      </c>
      <c r="G174" s="108"/>
      <c r="H174" s="26">
        <f>H175</f>
        <v>19.3</v>
      </c>
    </row>
    <row r="175" spans="1:8" ht="20.25" hidden="1">
      <c r="A175" s="107"/>
      <c r="B175" s="35" t="s">
        <v>199</v>
      </c>
      <c r="C175" s="108">
        <v>966</v>
      </c>
      <c r="D175" s="107" t="s">
        <v>83</v>
      </c>
      <c r="E175" s="1" t="s">
        <v>180</v>
      </c>
      <c r="F175" s="108">
        <v>244</v>
      </c>
      <c r="G175" s="108"/>
      <c r="H175" s="26">
        <f>H176</f>
        <v>19.3</v>
      </c>
    </row>
    <row r="176" spans="1:10" ht="13.5" hidden="1" thickBot="1">
      <c r="A176" s="46"/>
      <c r="B176" s="6" t="s">
        <v>217</v>
      </c>
      <c r="C176" s="45">
        <v>966</v>
      </c>
      <c r="D176" s="46" t="s">
        <v>83</v>
      </c>
      <c r="E176" s="58" t="s">
        <v>180</v>
      </c>
      <c r="F176" s="45">
        <v>244</v>
      </c>
      <c r="G176" s="45">
        <v>340</v>
      </c>
      <c r="H176" s="51">
        <f>25-5.7</f>
        <v>19.3</v>
      </c>
      <c r="J176">
        <v>1</v>
      </c>
    </row>
    <row r="177" spans="1:8" ht="21" thickBot="1">
      <c r="A177" s="40" t="s">
        <v>132</v>
      </c>
      <c r="B177" s="41" t="s">
        <v>260</v>
      </c>
      <c r="C177" s="42">
        <v>966</v>
      </c>
      <c r="D177" s="43" t="s">
        <v>83</v>
      </c>
      <c r="E177" s="43" t="s">
        <v>255</v>
      </c>
      <c r="F177" s="42"/>
      <c r="G177" s="243"/>
      <c r="H177" s="62">
        <f>H178</f>
        <v>1386</v>
      </c>
    </row>
    <row r="178" spans="1:8" ht="41.25" thickBot="1">
      <c r="A178" s="117" t="s">
        <v>428</v>
      </c>
      <c r="B178" s="136" t="s">
        <v>105</v>
      </c>
      <c r="C178" s="116">
        <v>966</v>
      </c>
      <c r="D178" s="117" t="s">
        <v>83</v>
      </c>
      <c r="E178" s="9" t="s">
        <v>255</v>
      </c>
      <c r="F178" s="116">
        <v>100</v>
      </c>
      <c r="G178" s="119"/>
      <c r="H178" s="25">
        <f>'ассигнов 3'!H179</f>
        <v>1386</v>
      </c>
    </row>
    <row r="179" spans="1:8" ht="20.25" hidden="1">
      <c r="A179" s="107"/>
      <c r="B179" s="147" t="s">
        <v>257</v>
      </c>
      <c r="C179" s="108">
        <v>966</v>
      </c>
      <c r="D179" s="107" t="s">
        <v>83</v>
      </c>
      <c r="E179" s="1" t="s">
        <v>255</v>
      </c>
      <c r="F179" s="108">
        <v>110</v>
      </c>
      <c r="G179" s="162"/>
      <c r="H179" s="26">
        <f>H180+H182</f>
        <v>1356.2</v>
      </c>
    </row>
    <row r="180" spans="1:8" ht="20.25" hidden="1">
      <c r="A180" s="107"/>
      <c r="B180" s="147" t="s">
        <v>254</v>
      </c>
      <c r="C180" s="108">
        <v>966</v>
      </c>
      <c r="D180" s="107" t="s">
        <v>83</v>
      </c>
      <c r="E180" s="1" t="s">
        <v>255</v>
      </c>
      <c r="F180" s="108">
        <v>111</v>
      </c>
      <c r="G180" s="23"/>
      <c r="H180" s="26">
        <f>H181</f>
        <v>1062.2</v>
      </c>
    </row>
    <row r="181" spans="1:12" ht="12.75" hidden="1">
      <c r="A181" s="107"/>
      <c r="B181" s="147" t="s">
        <v>206</v>
      </c>
      <c r="C181" s="108">
        <v>966</v>
      </c>
      <c r="D181" s="107" t="s">
        <v>83</v>
      </c>
      <c r="E181" s="1" t="s">
        <v>255</v>
      </c>
      <c r="F181" s="108">
        <v>111</v>
      </c>
      <c r="G181" s="23">
        <v>211</v>
      </c>
      <c r="H181" s="26">
        <f>1143.3-81.1</f>
        <v>1062.2</v>
      </c>
      <c r="L181">
        <v>-81.1</v>
      </c>
    </row>
    <row r="182" spans="1:8" ht="40.5" hidden="1">
      <c r="A182" s="107"/>
      <c r="B182" s="147" t="s">
        <v>258</v>
      </c>
      <c r="C182" s="108">
        <v>966</v>
      </c>
      <c r="D182" s="107" t="s">
        <v>83</v>
      </c>
      <c r="E182" s="1" t="s">
        <v>255</v>
      </c>
      <c r="F182" s="108">
        <v>119</v>
      </c>
      <c r="G182" s="23"/>
      <c r="H182" s="26">
        <f>H183</f>
        <v>294</v>
      </c>
    </row>
    <row r="183" spans="1:12" ht="13.5" hidden="1" thickBot="1">
      <c r="A183" s="48"/>
      <c r="B183" s="236" t="s">
        <v>207</v>
      </c>
      <c r="C183" s="49">
        <v>966</v>
      </c>
      <c r="D183" s="48" t="s">
        <v>83</v>
      </c>
      <c r="E183" s="59" t="s">
        <v>255</v>
      </c>
      <c r="F183" s="49">
        <v>119</v>
      </c>
      <c r="G183" s="24">
        <v>213</v>
      </c>
      <c r="H183" s="28">
        <f>343-49</f>
        <v>294</v>
      </c>
      <c r="L183">
        <v>-49</v>
      </c>
    </row>
    <row r="184" spans="1:8" ht="21" thickBot="1">
      <c r="A184" s="75" t="s">
        <v>43</v>
      </c>
      <c r="B184" s="76" t="s">
        <v>44</v>
      </c>
      <c r="C184" s="77">
        <v>966</v>
      </c>
      <c r="D184" s="78" t="s">
        <v>86</v>
      </c>
      <c r="E184" s="78"/>
      <c r="F184" s="77"/>
      <c r="G184" s="77"/>
      <c r="H184" s="79">
        <f>H185</f>
        <v>953.2</v>
      </c>
    </row>
    <row r="185" spans="1:8" ht="21" thickBot="1">
      <c r="A185" s="69" t="s">
        <v>45</v>
      </c>
      <c r="B185" s="70" t="s">
        <v>46</v>
      </c>
      <c r="C185" s="71">
        <v>966</v>
      </c>
      <c r="D185" s="72" t="s">
        <v>87</v>
      </c>
      <c r="E185" s="72"/>
      <c r="F185" s="71"/>
      <c r="G185" s="71"/>
      <c r="H185" s="73">
        <f>H186+H192</f>
        <v>953.2</v>
      </c>
    </row>
    <row r="186" spans="1:8" ht="61.5" thickBot="1">
      <c r="A186" s="40" t="s">
        <v>161</v>
      </c>
      <c r="B186" s="41" t="s">
        <v>162</v>
      </c>
      <c r="C186" s="42">
        <v>966</v>
      </c>
      <c r="D186" s="43" t="s">
        <v>87</v>
      </c>
      <c r="E186" s="43" t="s">
        <v>181</v>
      </c>
      <c r="F186" s="42"/>
      <c r="G186" s="42"/>
      <c r="H186" s="62">
        <f>H187</f>
        <v>10</v>
      </c>
    </row>
    <row r="187" spans="1:8" ht="21" thickBot="1">
      <c r="A187" s="16" t="s">
        <v>163</v>
      </c>
      <c r="B187" s="33" t="s">
        <v>24</v>
      </c>
      <c r="C187" s="22">
        <v>966</v>
      </c>
      <c r="D187" s="16" t="s">
        <v>87</v>
      </c>
      <c r="E187" s="9" t="s">
        <v>181</v>
      </c>
      <c r="F187" s="22">
        <v>200</v>
      </c>
      <c r="G187" s="22"/>
      <c r="H187" s="25">
        <f>'ассигнов 3'!H188</f>
        <v>10</v>
      </c>
    </row>
    <row r="188" spans="1:8" ht="20.25" hidden="1">
      <c r="A188" s="16"/>
      <c r="B188" s="5" t="s">
        <v>108</v>
      </c>
      <c r="C188" s="22">
        <v>966</v>
      </c>
      <c r="D188" s="16" t="s">
        <v>87</v>
      </c>
      <c r="E188" s="9" t="s">
        <v>181</v>
      </c>
      <c r="F188" s="22">
        <v>240</v>
      </c>
      <c r="G188" s="22"/>
      <c r="H188" s="25">
        <f>H189</f>
        <v>80</v>
      </c>
    </row>
    <row r="189" spans="1:8" ht="20.25" hidden="1">
      <c r="A189" s="16"/>
      <c r="B189" s="35" t="s">
        <v>199</v>
      </c>
      <c r="C189" s="22">
        <v>966</v>
      </c>
      <c r="D189" s="16" t="s">
        <v>87</v>
      </c>
      <c r="E189" s="9" t="s">
        <v>181</v>
      </c>
      <c r="F189" s="22">
        <v>244</v>
      </c>
      <c r="G189" s="22"/>
      <c r="H189" s="25">
        <f>H190+H191</f>
        <v>80</v>
      </c>
    </row>
    <row r="190" spans="1:11" ht="12.75" hidden="1">
      <c r="A190" s="16"/>
      <c r="B190" s="5" t="s">
        <v>208</v>
      </c>
      <c r="C190" s="22">
        <v>966</v>
      </c>
      <c r="D190" s="16" t="s">
        <v>87</v>
      </c>
      <c r="E190" s="9" t="s">
        <v>181</v>
      </c>
      <c r="F190" s="22">
        <v>244</v>
      </c>
      <c r="G190" s="22">
        <v>226</v>
      </c>
      <c r="H190" s="25">
        <f>80-40</f>
        <v>40</v>
      </c>
      <c r="K190">
        <v>2</v>
      </c>
    </row>
    <row r="191" spans="1:11" ht="13.5" hidden="1" thickBot="1">
      <c r="A191" s="111"/>
      <c r="B191" s="104" t="s">
        <v>218</v>
      </c>
      <c r="C191" s="22">
        <v>966</v>
      </c>
      <c r="D191" s="16" t="s">
        <v>87</v>
      </c>
      <c r="E191" s="9" t="s">
        <v>181</v>
      </c>
      <c r="F191" s="22">
        <v>244</v>
      </c>
      <c r="G191" s="22">
        <v>310</v>
      </c>
      <c r="H191" s="238">
        <v>40</v>
      </c>
      <c r="K191">
        <v>2</v>
      </c>
    </row>
    <row r="192" spans="1:8" ht="51" thickBot="1">
      <c r="A192" s="40" t="s">
        <v>47</v>
      </c>
      <c r="B192" s="41" t="s">
        <v>112</v>
      </c>
      <c r="C192" s="42">
        <v>966</v>
      </c>
      <c r="D192" s="43" t="s">
        <v>87</v>
      </c>
      <c r="E192" s="43" t="s">
        <v>182</v>
      </c>
      <c r="F192" s="42"/>
      <c r="G192" s="42"/>
      <c r="H192" s="62">
        <f>H193</f>
        <v>943.2</v>
      </c>
    </row>
    <row r="193" spans="1:8" ht="21" thickBot="1">
      <c r="A193" s="16" t="s">
        <v>48</v>
      </c>
      <c r="B193" s="33" t="s">
        <v>24</v>
      </c>
      <c r="C193" s="22">
        <v>966</v>
      </c>
      <c r="D193" s="16" t="s">
        <v>87</v>
      </c>
      <c r="E193" s="9" t="s">
        <v>182</v>
      </c>
      <c r="F193" s="22">
        <v>200</v>
      </c>
      <c r="G193" s="22"/>
      <c r="H193" s="25">
        <f>'ассигнов 3'!H194</f>
        <v>943.2</v>
      </c>
    </row>
    <row r="194" spans="1:8" ht="20.25" hidden="1">
      <c r="A194" s="16"/>
      <c r="B194" s="5" t="s">
        <v>108</v>
      </c>
      <c r="C194" s="22">
        <v>966</v>
      </c>
      <c r="D194" s="16" t="s">
        <v>87</v>
      </c>
      <c r="E194" s="9" t="s">
        <v>182</v>
      </c>
      <c r="F194" s="22">
        <v>240</v>
      </c>
      <c r="G194" s="22"/>
      <c r="H194" s="25">
        <f>H195</f>
        <v>960</v>
      </c>
    </row>
    <row r="195" spans="1:8" ht="20.25" hidden="1">
      <c r="A195" s="16"/>
      <c r="B195" s="35" t="s">
        <v>199</v>
      </c>
      <c r="C195" s="22">
        <v>966</v>
      </c>
      <c r="D195" s="16" t="s">
        <v>87</v>
      </c>
      <c r="E195" s="9" t="s">
        <v>182</v>
      </c>
      <c r="F195" s="22">
        <v>244</v>
      </c>
      <c r="G195" s="22"/>
      <c r="H195" s="25">
        <f>SUM(H196:H197)</f>
        <v>960</v>
      </c>
    </row>
    <row r="196" spans="1:8" ht="12.75" hidden="1">
      <c r="A196" s="17"/>
      <c r="B196" s="5" t="s">
        <v>247</v>
      </c>
      <c r="C196" s="23">
        <v>966</v>
      </c>
      <c r="D196" s="17" t="s">
        <v>87</v>
      </c>
      <c r="E196" s="1" t="s">
        <v>182</v>
      </c>
      <c r="F196" s="23">
        <v>244</v>
      </c>
      <c r="G196" s="23">
        <v>224</v>
      </c>
      <c r="H196" s="26">
        <v>900</v>
      </c>
    </row>
    <row r="197" spans="1:12" ht="13.5" hidden="1" thickBot="1">
      <c r="A197" s="17"/>
      <c r="B197" s="5" t="s">
        <v>208</v>
      </c>
      <c r="C197" s="23">
        <v>966</v>
      </c>
      <c r="D197" s="17" t="s">
        <v>87</v>
      </c>
      <c r="E197" s="1" t="s">
        <v>182</v>
      </c>
      <c r="F197" s="23">
        <v>244</v>
      </c>
      <c r="G197" s="23">
        <v>226</v>
      </c>
      <c r="H197" s="26">
        <f>327.5-267.5</f>
        <v>60</v>
      </c>
      <c r="L197">
        <v>-267.5</v>
      </c>
    </row>
    <row r="198" spans="1:8" ht="13.5" thickBot="1">
      <c r="A198" s="75" t="s">
        <v>133</v>
      </c>
      <c r="B198" s="76" t="s">
        <v>49</v>
      </c>
      <c r="C198" s="77">
        <v>966</v>
      </c>
      <c r="D198" s="78" t="s">
        <v>88</v>
      </c>
      <c r="E198" s="78"/>
      <c r="F198" s="77"/>
      <c r="G198" s="77"/>
      <c r="H198" s="79">
        <f>H199</f>
        <v>33051.4</v>
      </c>
    </row>
    <row r="199" spans="1:8" ht="13.5" thickBot="1">
      <c r="A199" s="69" t="s">
        <v>135</v>
      </c>
      <c r="B199" s="70" t="s">
        <v>50</v>
      </c>
      <c r="C199" s="71">
        <v>966</v>
      </c>
      <c r="D199" s="72" t="s">
        <v>89</v>
      </c>
      <c r="E199" s="72"/>
      <c r="F199" s="71"/>
      <c r="G199" s="71"/>
      <c r="H199" s="73">
        <f>H200+H206+H213+H219+H226+H232+H237+H242+H262</f>
        <v>33051.4</v>
      </c>
    </row>
    <row r="200" spans="1:8" ht="41.25" thickBot="1">
      <c r="A200" s="40" t="s">
        <v>136</v>
      </c>
      <c r="B200" s="41" t="s">
        <v>128</v>
      </c>
      <c r="C200" s="42">
        <v>966</v>
      </c>
      <c r="D200" s="43" t="s">
        <v>89</v>
      </c>
      <c r="E200" s="43" t="s">
        <v>183</v>
      </c>
      <c r="F200" s="42"/>
      <c r="G200" s="42"/>
      <c r="H200" s="62">
        <f>H201</f>
        <v>323</v>
      </c>
    </row>
    <row r="201" spans="1:8" ht="21" thickBot="1">
      <c r="A201" s="16" t="s">
        <v>137</v>
      </c>
      <c r="B201" s="244" t="s">
        <v>24</v>
      </c>
      <c r="C201" s="245">
        <v>966</v>
      </c>
      <c r="D201" s="246" t="s">
        <v>89</v>
      </c>
      <c r="E201" s="57" t="s">
        <v>183</v>
      </c>
      <c r="F201" s="245">
        <v>200</v>
      </c>
      <c r="G201" s="245"/>
      <c r="H201" s="247">
        <f>'ассигнов 3'!H202</f>
        <v>323</v>
      </c>
    </row>
    <row r="202" spans="1:8" ht="21.75" customHeight="1" hidden="1">
      <c r="A202" s="16"/>
      <c r="B202" s="5" t="s">
        <v>108</v>
      </c>
      <c r="C202" s="23">
        <v>966</v>
      </c>
      <c r="D202" s="17" t="s">
        <v>89</v>
      </c>
      <c r="E202" s="1" t="s">
        <v>183</v>
      </c>
      <c r="F202" s="23">
        <v>240</v>
      </c>
      <c r="G202" s="23"/>
      <c r="H202" s="26">
        <f>H203</f>
        <v>8162.599999999999</v>
      </c>
    </row>
    <row r="203" spans="1:8" ht="20.25" hidden="1">
      <c r="A203" s="16"/>
      <c r="B203" s="115" t="s">
        <v>199</v>
      </c>
      <c r="C203" s="22">
        <v>966</v>
      </c>
      <c r="D203" s="16" t="s">
        <v>89</v>
      </c>
      <c r="E203" s="1" t="s">
        <v>183</v>
      </c>
      <c r="F203" s="23">
        <v>244</v>
      </c>
      <c r="G203" s="248"/>
      <c r="H203" s="240">
        <f>H204+H205</f>
        <v>8162.599999999999</v>
      </c>
    </row>
    <row r="204" spans="1:12" ht="12.75" hidden="1">
      <c r="A204" s="16"/>
      <c r="B204" s="5" t="s">
        <v>208</v>
      </c>
      <c r="C204" s="22">
        <v>966</v>
      </c>
      <c r="D204" s="16" t="s">
        <v>89</v>
      </c>
      <c r="E204" s="9" t="s">
        <v>183</v>
      </c>
      <c r="F204" s="22">
        <v>244</v>
      </c>
      <c r="G204" s="249">
        <v>226</v>
      </c>
      <c r="H204" s="242">
        <f>9793.9-626.1-100-137.9-500-367.3</f>
        <v>8062.599999999999</v>
      </c>
      <c r="I204" t="s">
        <v>251</v>
      </c>
      <c r="L204">
        <v>-367.3</v>
      </c>
    </row>
    <row r="205" spans="1:8" ht="13.5" hidden="1" thickBot="1">
      <c r="A205" s="111"/>
      <c r="B205" s="104" t="s">
        <v>218</v>
      </c>
      <c r="C205" s="22">
        <v>966</v>
      </c>
      <c r="D205" s="16" t="s">
        <v>89</v>
      </c>
      <c r="E205" s="9" t="s">
        <v>183</v>
      </c>
      <c r="F205" s="22">
        <v>244</v>
      </c>
      <c r="G205" s="249">
        <v>310</v>
      </c>
      <c r="H205" s="250">
        <v>100</v>
      </c>
    </row>
    <row r="206" spans="1:8" ht="30.75" thickBot="1">
      <c r="A206" s="40" t="s">
        <v>138</v>
      </c>
      <c r="B206" s="41" t="s">
        <v>129</v>
      </c>
      <c r="C206" s="42">
        <v>966</v>
      </c>
      <c r="D206" s="43" t="s">
        <v>89</v>
      </c>
      <c r="E206" s="43" t="s">
        <v>184</v>
      </c>
      <c r="F206" s="42"/>
      <c r="G206" s="42"/>
      <c r="H206" s="62">
        <f>H207</f>
        <v>1908.8999999999999</v>
      </c>
    </row>
    <row r="207" spans="1:8" ht="21" thickBot="1">
      <c r="A207" s="16" t="s">
        <v>139</v>
      </c>
      <c r="B207" s="33" t="s">
        <v>24</v>
      </c>
      <c r="C207" s="22">
        <v>966</v>
      </c>
      <c r="D207" s="16" t="s">
        <v>89</v>
      </c>
      <c r="E207" s="9" t="s">
        <v>184</v>
      </c>
      <c r="F207" s="22">
        <v>200</v>
      </c>
      <c r="G207" s="22"/>
      <c r="H207" s="25">
        <f>'ассигнов 3'!H208</f>
        <v>1908.8999999999999</v>
      </c>
    </row>
    <row r="208" spans="1:8" ht="20.25" hidden="1">
      <c r="A208" s="16"/>
      <c r="B208" s="5" t="s">
        <v>108</v>
      </c>
      <c r="C208" s="22">
        <v>966</v>
      </c>
      <c r="D208" s="16" t="s">
        <v>89</v>
      </c>
      <c r="E208" s="9" t="s">
        <v>184</v>
      </c>
      <c r="F208" s="22">
        <v>240</v>
      </c>
      <c r="G208" s="22"/>
      <c r="H208" s="25">
        <f>H209</f>
        <v>2051.0000000000014</v>
      </c>
    </row>
    <row r="209" spans="1:8" ht="20.25" hidden="1">
      <c r="A209" s="16"/>
      <c r="B209" s="35" t="s">
        <v>199</v>
      </c>
      <c r="C209" s="22">
        <v>966</v>
      </c>
      <c r="D209" s="16" t="s">
        <v>89</v>
      </c>
      <c r="E209" s="9" t="s">
        <v>184</v>
      </c>
      <c r="F209" s="22">
        <v>244</v>
      </c>
      <c r="G209" s="22"/>
      <c r="H209" s="25">
        <f>H210+H211+H212</f>
        <v>2051.0000000000014</v>
      </c>
    </row>
    <row r="210" spans="1:12" ht="12.75" hidden="1">
      <c r="A210" s="16"/>
      <c r="B210" s="5" t="s">
        <v>208</v>
      </c>
      <c r="C210" s="22">
        <v>966</v>
      </c>
      <c r="D210" s="16" t="s">
        <v>89</v>
      </c>
      <c r="E210" s="9" t="s">
        <v>184</v>
      </c>
      <c r="F210" s="22">
        <v>244</v>
      </c>
      <c r="G210" s="22">
        <v>226</v>
      </c>
      <c r="H210" s="25">
        <f>7466.8-980-635.4-1601.6-85.2-600-500-1698.8</f>
        <v>1365.8000000000013</v>
      </c>
      <c r="I210" t="s">
        <v>251</v>
      </c>
      <c r="L210">
        <v>-1698.8</v>
      </c>
    </row>
    <row r="211" spans="1:8" ht="12.75" hidden="1">
      <c r="A211" s="111"/>
      <c r="B211" s="104" t="s">
        <v>203</v>
      </c>
      <c r="C211" s="22">
        <v>966</v>
      </c>
      <c r="D211" s="16" t="s">
        <v>89</v>
      </c>
      <c r="E211" s="9" t="s">
        <v>184</v>
      </c>
      <c r="F211" s="22">
        <v>244</v>
      </c>
      <c r="G211" s="22">
        <v>290</v>
      </c>
      <c r="H211" s="26">
        <v>85.2</v>
      </c>
    </row>
    <row r="212" spans="1:8" ht="13.5" hidden="1" thickBot="1">
      <c r="A212" s="251"/>
      <c r="B212" s="6" t="s">
        <v>217</v>
      </c>
      <c r="C212" s="45">
        <v>966</v>
      </c>
      <c r="D212" s="46" t="s">
        <v>89</v>
      </c>
      <c r="E212" s="58" t="s">
        <v>184</v>
      </c>
      <c r="F212" s="45">
        <v>244</v>
      </c>
      <c r="G212" s="45">
        <v>340</v>
      </c>
      <c r="H212" s="28">
        <v>600</v>
      </c>
    </row>
    <row r="213" spans="1:8" ht="30.75" thickBot="1">
      <c r="A213" s="40" t="s">
        <v>140</v>
      </c>
      <c r="B213" s="41" t="s">
        <v>130</v>
      </c>
      <c r="C213" s="42">
        <v>966</v>
      </c>
      <c r="D213" s="43" t="s">
        <v>89</v>
      </c>
      <c r="E213" s="43" t="s">
        <v>185</v>
      </c>
      <c r="F213" s="42"/>
      <c r="G213" s="42"/>
      <c r="H213" s="62">
        <f>H214</f>
        <v>8627.7</v>
      </c>
    </row>
    <row r="214" spans="1:8" ht="20.25">
      <c r="A214" s="16" t="s">
        <v>141</v>
      </c>
      <c r="B214" s="50" t="s">
        <v>24</v>
      </c>
      <c r="C214" s="22">
        <v>966</v>
      </c>
      <c r="D214" s="16" t="s">
        <v>89</v>
      </c>
      <c r="E214" s="9" t="s">
        <v>185</v>
      </c>
      <c r="F214" s="22">
        <v>200</v>
      </c>
      <c r="G214" s="22"/>
      <c r="H214" s="25">
        <f>'ассигнов 3'!H215</f>
        <v>8627.7</v>
      </c>
    </row>
    <row r="215" spans="1:8" ht="21" thickBot="1">
      <c r="A215" s="16"/>
      <c r="B215" s="5" t="s">
        <v>108</v>
      </c>
      <c r="C215" s="22">
        <v>966</v>
      </c>
      <c r="D215" s="16" t="s">
        <v>89</v>
      </c>
      <c r="E215" s="9" t="s">
        <v>185</v>
      </c>
      <c r="F215" s="22">
        <v>240</v>
      </c>
      <c r="G215" s="22"/>
      <c r="H215" s="25">
        <f>H216</f>
        <v>8117.5</v>
      </c>
    </row>
    <row r="216" spans="1:8" ht="20.25" hidden="1">
      <c r="A216" s="16"/>
      <c r="B216" s="35" t="s">
        <v>199</v>
      </c>
      <c r="C216" s="22">
        <v>966</v>
      </c>
      <c r="D216" s="16" t="s">
        <v>89</v>
      </c>
      <c r="E216" s="9" t="s">
        <v>185</v>
      </c>
      <c r="F216" s="22">
        <v>244</v>
      </c>
      <c r="G216" s="22"/>
      <c r="H216" s="25">
        <f>H217+H218</f>
        <v>8117.5</v>
      </c>
    </row>
    <row r="217" spans="1:12" ht="12.75" hidden="1">
      <c r="A217" s="16"/>
      <c r="B217" s="5" t="s">
        <v>208</v>
      </c>
      <c r="C217" s="22">
        <v>966</v>
      </c>
      <c r="D217" s="16" t="s">
        <v>89</v>
      </c>
      <c r="E217" s="9" t="s">
        <v>185</v>
      </c>
      <c r="F217" s="22">
        <v>244</v>
      </c>
      <c r="G217" s="22">
        <v>226</v>
      </c>
      <c r="H217" s="25">
        <f>22603.4-4561.2-2157.6-3758.6-700-1729+2420-135.4-131.5-3999.5-86.5</f>
        <v>7764.1</v>
      </c>
      <c r="I217" t="s">
        <v>251</v>
      </c>
      <c r="L217">
        <f>-3999.5-86.5</f>
        <v>-4086</v>
      </c>
    </row>
    <row r="218" spans="1:12" ht="13.5" hidden="1" thickBot="1">
      <c r="A218" s="111"/>
      <c r="B218" s="104" t="s">
        <v>218</v>
      </c>
      <c r="C218" s="45">
        <v>966</v>
      </c>
      <c r="D218" s="46" t="s">
        <v>89</v>
      </c>
      <c r="E218" s="9" t="s">
        <v>185</v>
      </c>
      <c r="F218" s="45">
        <v>244</v>
      </c>
      <c r="G218" s="45">
        <v>310</v>
      </c>
      <c r="H218" s="238">
        <f>135.4+131.5+86.5</f>
        <v>353.4</v>
      </c>
      <c r="L218">
        <v>86.5</v>
      </c>
    </row>
    <row r="219" spans="1:8" ht="21" thickBot="1">
      <c r="A219" s="40" t="s">
        <v>142</v>
      </c>
      <c r="B219" s="41" t="s">
        <v>244</v>
      </c>
      <c r="C219" s="42">
        <v>966</v>
      </c>
      <c r="D219" s="43" t="s">
        <v>89</v>
      </c>
      <c r="E219" s="43" t="s">
        <v>232</v>
      </c>
      <c r="F219" s="42"/>
      <c r="G219" s="42"/>
      <c r="H219" s="62">
        <f>H220</f>
        <v>10000</v>
      </c>
    </row>
    <row r="220" spans="1:8" ht="21" thickBot="1">
      <c r="A220" s="9" t="s">
        <v>143</v>
      </c>
      <c r="B220" s="50" t="s">
        <v>24</v>
      </c>
      <c r="C220" s="29">
        <v>966</v>
      </c>
      <c r="D220" s="9" t="s">
        <v>89</v>
      </c>
      <c r="E220" s="9" t="s">
        <v>232</v>
      </c>
      <c r="F220" s="29">
        <v>200</v>
      </c>
      <c r="G220" s="29"/>
      <c r="H220" s="25">
        <f>'ассигнов 3'!H222</f>
        <v>10000</v>
      </c>
    </row>
    <row r="221" spans="1:8" ht="20.25" hidden="1">
      <c r="A221" s="9"/>
      <c r="B221" s="5" t="s">
        <v>108</v>
      </c>
      <c r="C221" s="29">
        <v>966</v>
      </c>
      <c r="D221" s="9" t="s">
        <v>89</v>
      </c>
      <c r="E221" s="9" t="s">
        <v>232</v>
      </c>
      <c r="F221" s="29">
        <v>240</v>
      </c>
      <c r="G221" s="29"/>
      <c r="H221" s="25">
        <f>H222</f>
        <v>10000</v>
      </c>
    </row>
    <row r="222" spans="1:8" ht="20.25" hidden="1">
      <c r="A222" s="9"/>
      <c r="B222" s="35" t="s">
        <v>199</v>
      </c>
      <c r="C222" s="29">
        <v>966</v>
      </c>
      <c r="D222" s="9" t="s">
        <v>89</v>
      </c>
      <c r="E222" s="9" t="s">
        <v>232</v>
      </c>
      <c r="F222" s="29">
        <v>244</v>
      </c>
      <c r="G222" s="29"/>
      <c r="H222" s="25">
        <f>H223+H224+H225</f>
        <v>10000</v>
      </c>
    </row>
    <row r="223" spans="1:13" ht="12.75" hidden="1">
      <c r="A223" s="9"/>
      <c r="B223" s="5" t="s">
        <v>208</v>
      </c>
      <c r="C223" s="29">
        <v>966</v>
      </c>
      <c r="D223" s="9" t="s">
        <v>89</v>
      </c>
      <c r="E223" s="9" t="s">
        <v>232</v>
      </c>
      <c r="F223" s="29">
        <v>244</v>
      </c>
      <c r="G223" s="29">
        <v>226</v>
      </c>
      <c r="H223" s="25">
        <f>10125.3-125.3-1503.1-1618.5-431</f>
        <v>6447.4</v>
      </c>
      <c r="L223">
        <f>-1618.5-431</f>
        <v>-2049.5</v>
      </c>
      <c r="M223" s="252"/>
    </row>
    <row r="224" spans="1:12" ht="12.75" hidden="1">
      <c r="A224" s="1"/>
      <c r="B224" s="5" t="s">
        <v>218</v>
      </c>
      <c r="C224" s="29">
        <v>966</v>
      </c>
      <c r="D224" s="9" t="s">
        <v>89</v>
      </c>
      <c r="E224" s="9" t="s">
        <v>232</v>
      </c>
      <c r="F224" s="29">
        <v>244</v>
      </c>
      <c r="G224" s="27">
        <v>310</v>
      </c>
      <c r="H224" s="26">
        <f>915.9+1618.5</f>
        <v>2534.4</v>
      </c>
      <c r="L224">
        <v>1618.5</v>
      </c>
    </row>
    <row r="225" spans="1:12" ht="13.5" hidden="1" thickBot="1">
      <c r="A225" s="59"/>
      <c r="B225" s="236" t="s">
        <v>217</v>
      </c>
      <c r="C225" s="239">
        <v>966</v>
      </c>
      <c r="D225" s="58" t="s">
        <v>89</v>
      </c>
      <c r="E225" s="58" t="s">
        <v>232</v>
      </c>
      <c r="F225" s="239">
        <v>244</v>
      </c>
      <c r="G225" s="237">
        <v>340</v>
      </c>
      <c r="H225" s="28">
        <f>587.2+431</f>
        <v>1018.2</v>
      </c>
      <c r="L225">
        <v>431</v>
      </c>
    </row>
    <row r="226" spans="1:8" ht="30.75" thickBot="1">
      <c r="A226" s="40" t="s">
        <v>144</v>
      </c>
      <c r="B226" s="41" t="s">
        <v>193</v>
      </c>
      <c r="C226" s="42">
        <v>966</v>
      </c>
      <c r="D226" s="43" t="s">
        <v>89</v>
      </c>
      <c r="E226" s="43" t="s">
        <v>233</v>
      </c>
      <c r="F226" s="42"/>
      <c r="G226" s="42"/>
      <c r="H226" s="62">
        <f>H227</f>
        <v>5622.300000000001</v>
      </c>
    </row>
    <row r="227" spans="1:8" ht="21" thickBot="1">
      <c r="A227" s="9" t="s">
        <v>145</v>
      </c>
      <c r="B227" s="33" t="s">
        <v>24</v>
      </c>
      <c r="C227" s="29">
        <v>966</v>
      </c>
      <c r="D227" s="9" t="s">
        <v>89</v>
      </c>
      <c r="E227" s="9" t="s">
        <v>233</v>
      </c>
      <c r="F227" s="29">
        <v>200</v>
      </c>
      <c r="G227" s="29"/>
      <c r="H227" s="25">
        <f>'ассигнов 3'!H229</f>
        <v>5622.300000000001</v>
      </c>
    </row>
    <row r="228" spans="1:8" ht="20.25" hidden="1">
      <c r="A228" s="9"/>
      <c r="B228" s="5" t="s">
        <v>108</v>
      </c>
      <c r="C228" s="29">
        <v>966</v>
      </c>
      <c r="D228" s="9" t="s">
        <v>89</v>
      </c>
      <c r="E228" s="9" t="s">
        <v>233</v>
      </c>
      <c r="F228" s="29">
        <v>240</v>
      </c>
      <c r="G228" s="29"/>
      <c r="H228" s="25">
        <f>H229</f>
        <v>5622.300000000001</v>
      </c>
    </row>
    <row r="229" spans="1:8" ht="20.25" hidden="1">
      <c r="A229" s="9"/>
      <c r="B229" s="35" t="s">
        <v>199</v>
      </c>
      <c r="C229" s="29">
        <v>966</v>
      </c>
      <c r="D229" s="9" t="s">
        <v>89</v>
      </c>
      <c r="E229" s="9" t="s">
        <v>233</v>
      </c>
      <c r="F229" s="29">
        <v>244</v>
      </c>
      <c r="G229" s="29"/>
      <c r="H229" s="25">
        <f>H230+H231</f>
        <v>5622.300000000001</v>
      </c>
    </row>
    <row r="230" spans="1:8" ht="12.75" hidden="1">
      <c r="A230" s="9"/>
      <c r="B230" s="5" t="s">
        <v>208</v>
      </c>
      <c r="C230" s="29">
        <v>966</v>
      </c>
      <c r="D230" s="9" t="s">
        <v>89</v>
      </c>
      <c r="E230" s="9" t="s">
        <v>233</v>
      </c>
      <c r="F230" s="29">
        <v>244</v>
      </c>
      <c r="G230" s="29">
        <v>226</v>
      </c>
      <c r="H230" s="25">
        <f>1125.1+5014.1-2190-516.9</f>
        <v>3432.3000000000006</v>
      </c>
    </row>
    <row r="231" spans="1:8" ht="13.5" hidden="1" thickBot="1">
      <c r="A231" s="9"/>
      <c r="B231" s="5" t="s">
        <v>218</v>
      </c>
      <c r="C231" s="29">
        <v>966</v>
      </c>
      <c r="D231" s="9" t="s">
        <v>89</v>
      </c>
      <c r="E231" s="9" t="s">
        <v>233</v>
      </c>
      <c r="F231" s="29">
        <v>244</v>
      </c>
      <c r="G231" s="29">
        <v>310</v>
      </c>
      <c r="H231" s="25">
        <v>2190</v>
      </c>
    </row>
    <row r="232" spans="1:8" ht="41.25" thickBot="1">
      <c r="A232" s="40" t="s">
        <v>146</v>
      </c>
      <c r="B232" s="41" t="s">
        <v>243</v>
      </c>
      <c r="C232" s="42">
        <v>966</v>
      </c>
      <c r="D232" s="43" t="s">
        <v>89</v>
      </c>
      <c r="E232" s="43" t="s">
        <v>186</v>
      </c>
      <c r="F232" s="42"/>
      <c r="G232" s="42"/>
      <c r="H232" s="62">
        <f>H236</f>
        <v>2730.3</v>
      </c>
    </row>
    <row r="233" spans="1:8" ht="21" thickBot="1">
      <c r="A233" s="16" t="s">
        <v>147</v>
      </c>
      <c r="B233" s="115" t="s">
        <v>24</v>
      </c>
      <c r="C233" s="22">
        <v>966</v>
      </c>
      <c r="D233" s="16" t="s">
        <v>89</v>
      </c>
      <c r="E233" s="9" t="s">
        <v>186</v>
      </c>
      <c r="F233" s="22">
        <v>200</v>
      </c>
      <c r="G233" s="22"/>
      <c r="H233" s="25">
        <f>'ассигнов 3'!H235</f>
        <v>2730.3</v>
      </c>
    </row>
    <row r="234" spans="1:8" ht="20.25" hidden="1">
      <c r="A234" s="17"/>
      <c r="B234" s="5" t="s">
        <v>108</v>
      </c>
      <c r="C234" s="23">
        <v>966</v>
      </c>
      <c r="D234" s="17" t="s">
        <v>89</v>
      </c>
      <c r="E234" s="1" t="s">
        <v>186</v>
      </c>
      <c r="F234" s="23">
        <v>240</v>
      </c>
      <c r="G234" s="23"/>
      <c r="H234" s="26">
        <f>H235</f>
        <v>2730.3</v>
      </c>
    </row>
    <row r="235" spans="1:8" ht="20.25" hidden="1">
      <c r="A235" s="17"/>
      <c r="B235" s="35" t="s">
        <v>199</v>
      </c>
      <c r="C235" s="23">
        <v>966</v>
      </c>
      <c r="D235" s="17" t="s">
        <v>89</v>
      </c>
      <c r="E235" s="1" t="s">
        <v>186</v>
      </c>
      <c r="F235" s="23">
        <v>244</v>
      </c>
      <c r="G235" s="23"/>
      <c r="H235" s="26">
        <f>H236</f>
        <v>2730.3</v>
      </c>
    </row>
    <row r="236" spans="1:8" ht="13.5" hidden="1" thickBot="1">
      <c r="A236" s="17"/>
      <c r="B236" s="5" t="s">
        <v>208</v>
      </c>
      <c r="C236" s="23">
        <v>966</v>
      </c>
      <c r="D236" s="17" t="s">
        <v>89</v>
      </c>
      <c r="E236" s="1" t="s">
        <v>186</v>
      </c>
      <c r="F236" s="23">
        <v>244</v>
      </c>
      <c r="G236" s="23">
        <v>226</v>
      </c>
      <c r="H236" s="26">
        <f>5110.3-3030+650</f>
        <v>2730.3</v>
      </c>
    </row>
    <row r="237" spans="1:8" ht="51" hidden="1" thickBot="1">
      <c r="A237" s="40" t="s">
        <v>194</v>
      </c>
      <c r="B237" s="41" t="s">
        <v>164</v>
      </c>
      <c r="C237" s="42">
        <v>966</v>
      </c>
      <c r="D237" s="43" t="s">
        <v>89</v>
      </c>
      <c r="E237" s="43" t="s">
        <v>196</v>
      </c>
      <c r="F237" s="42"/>
      <c r="G237" s="42"/>
      <c r="H237" s="62">
        <f>H240</f>
        <v>0</v>
      </c>
    </row>
    <row r="238" spans="1:8" ht="21" hidden="1" thickBot="1">
      <c r="A238" s="117" t="s">
        <v>195</v>
      </c>
      <c r="B238" s="253" t="s">
        <v>24</v>
      </c>
      <c r="C238" s="116">
        <v>966</v>
      </c>
      <c r="D238" s="117" t="s">
        <v>89</v>
      </c>
      <c r="E238" s="9" t="s">
        <v>196</v>
      </c>
      <c r="F238" s="116">
        <v>200</v>
      </c>
      <c r="G238" s="116"/>
      <c r="H238" s="25">
        <f>H240</f>
        <v>0</v>
      </c>
    </row>
    <row r="239" spans="1:8" ht="20.25" hidden="1">
      <c r="A239" s="107"/>
      <c r="B239" s="5" t="s">
        <v>108</v>
      </c>
      <c r="C239" s="108">
        <v>966</v>
      </c>
      <c r="D239" s="107" t="s">
        <v>89</v>
      </c>
      <c r="E239" s="1" t="s">
        <v>196</v>
      </c>
      <c r="F239" s="108">
        <v>240</v>
      </c>
      <c r="G239" s="108"/>
      <c r="H239" s="26">
        <f>H240</f>
        <v>0</v>
      </c>
    </row>
    <row r="240" spans="1:8" ht="20.25" hidden="1">
      <c r="A240" s="107"/>
      <c r="B240" s="35" t="s">
        <v>199</v>
      </c>
      <c r="C240" s="108">
        <v>966</v>
      </c>
      <c r="D240" s="107" t="s">
        <v>89</v>
      </c>
      <c r="E240" s="1" t="s">
        <v>196</v>
      </c>
      <c r="F240" s="108">
        <v>244</v>
      </c>
      <c r="G240" s="108"/>
      <c r="H240" s="26">
        <f>H241</f>
        <v>0</v>
      </c>
    </row>
    <row r="241" spans="1:12" ht="13.5" hidden="1" thickBot="1">
      <c r="A241" s="48"/>
      <c r="B241" s="236" t="s">
        <v>218</v>
      </c>
      <c r="C241" s="49">
        <v>966</v>
      </c>
      <c r="D241" s="48" t="s">
        <v>89</v>
      </c>
      <c r="E241" s="59" t="s">
        <v>196</v>
      </c>
      <c r="F241" s="49">
        <v>244</v>
      </c>
      <c r="G241" s="49">
        <v>310</v>
      </c>
      <c r="H241" s="28">
        <f>983.7-200-783.7</f>
        <v>0</v>
      </c>
      <c r="L241">
        <v>-783.7</v>
      </c>
    </row>
    <row r="242" spans="1:8" ht="21" thickBot="1">
      <c r="A242" s="40" t="s">
        <v>429</v>
      </c>
      <c r="B242" s="41" t="s">
        <v>259</v>
      </c>
      <c r="C242" s="42">
        <v>966</v>
      </c>
      <c r="D242" s="43" t="s">
        <v>89</v>
      </c>
      <c r="E242" s="43" t="s">
        <v>253</v>
      </c>
      <c r="F242" s="42"/>
      <c r="G242" s="42"/>
      <c r="H242" s="62">
        <f>H243+H254</f>
        <v>3508.3999999999996</v>
      </c>
    </row>
    <row r="243" spans="1:8" ht="40.5">
      <c r="A243" s="117" t="s">
        <v>430</v>
      </c>
      <c r="B243" s="136" t="s">
        <v>105</v>
      </c>
      <c r="C243" s="45">
        <v>966</v>
      </c>
      <c r="D243" s="117" t="s">
        <v>89</v>
      </c>
      <c r="E243" s="9" t="s">
        <v>253</v>
      </c>
      <c r="F243" s="116">
        <v>100</v>
      </c>
      <c r="G243" s="116"/>
      <c r="H243" s="25">
        <f>'ассигнов 3'!H245</f>
        <v>3363.5999999999995</v>
      </c>
    </row>
    <row r="244" spans="1:8" ht="20.25" hidden="1">
      <c r="A244" s="107"/>
      <c r="B244" s="147" t="s">
        <v>257</v>
      </c>
      <c r="C244" s="49">
        <v>966</v>
      </c>
      <c r="D244" s="107" t="s">
        <v>89</v>
      </c>
      <c r="E244" s="1" t="s">
        <v>253</v>
      </c>
      <c r="F244" s="108">
        <v>110</v>
      </c>
      <c r="G244" s="108"/>
      <c r="H244" s="26">
        <f>H245+H247+H249</f>
        <v>3230.2</v>
      </c>
    </row>
    <row r="245" spans="1:8" ht="20.25" hidden="1">
      <c r="A245" s="107"/>
      <c r="B245" s="147" t="s">
        <v>254</v>
      </c>
      <c r="C245" s="49">
        <v>966</v>
      </c>
      <c r="D245" s="107" t="s">
        <v>89</v>
      </c>
      <c r="E245" s="1" t="s">
        <v>253</v>
      </c>
      <c r="F245" s="108">
        <v>111</v>
      </c>
      <c r="G245" s="108"/>
      <c r="H245" s="26">
        <f>H246</f>
        <v>2598.2</v>
      </c>
    </row>
    <row r="246" spans="1:12" ht="12.75" hidden="1">
      <c r="A246" s="107"/>
      <c r="B246" s="147" t="s">
        <v>206</v>
      </c>
      <c r="C246" s="49">
        <v>966</v>
      </c>
      <c r="D246" s="107" t="s">
        <v>89</v>
      </c>
      <c r="E246" s="1" t="s">
        <v>253</v>
      </c>
      <c r="F246" s="108">
        <v>111</v>
      </c>
      <c r="G246" s="108">
        <v>211</v>
      </c>
      <c r="H246" s="26">
        <f>1786.5+811.7</f>
        <v>2598.2</v>
      </c>
      <c r="L246">
        <v>811.7</v>
      </c>
    </row>
    <row r="247" spans="1:8" ht="20.25" hidden="1">
      <c r="A247" s="107"/>
      <c r="B247" s="20" t="s">
        <v>421</v>
      </c>
      <c r="C247" s="49">
        <v>966</v>
      </c>
      <c r="D247" s="107" t="s">
        <v>89</v>
      </c>
      <c r="E247" s="1" t="s">
        <v>253</v>
      </c>
      <c r="F247" s="108">
        <v>112</v>
      </c>
      <c r="G247" s="108"/>
      <c r="H247" s="26">
        <f>H248</f>
        <v>1.6</v>
      </c>
    </row>
    <row r="248" spans="1:12" ht="12.75" hidden="1">
      <c r="A248" s="107"/>
      <c r="B248" s="20" t="s">
        <v>216</v>
      </c>
      <c r="C248" s="49">
        <v>966</v>
      </c>
      <c r="D248" s="107" t="s">
        <v>89</v>
      </c>
      <c r="E248" s="1" t="s">
        <v>253</v>
      </c>
      <c r="F248" s="108">
        <v>112</v>
      </c>
      <c r="G248" s="108">
        <v>222</v>
      </c>
      <c r="H248" s="26">
        <v>1.6</v>
      </c>
      <c r="L248">
        <v>1.6</v>
      </c>
    </row>
    <row r="249" spans="1:8" ht="40.5" hidden="1">
      <c r="A249" s="107"/>
      <c r="B249" s="147" t="s">
        <v>258</v>
      </c>
      <c r="C249" s="49">
        <v>966</v>
      </c>
      <c r="D249" s="107" t="s">
        <v>89</v>
      </c>
      <c r="E249" s="1" t="s">
        <v>253</v>
      </c>
      <c r="F249" s="108">
        <v>119</v>
      </c>
      <c r="G249" s="108"/>
      <c r="H249" s="26">
        <f>H250</f>
        <v>630.4</v>
      </c>
    </row>
    <row r="250" spans="1:12" ht="12.75" hidden="1">
      <c r="A250" s="107"/>
      <c r="B250" s="147" t="s">
        <v>207</v>
      </c>
      <c r="C250" s="49">
        <v>966</v>
      </c>
      <c r="D250" s="107" t="s">
        <v>89</v>
      </c>
      <c r="E250" s="1" t="s">
        <v>253</v>
      </c>
      <c r="F250" s="108">
        <v>119</v>
      </c>
      <c r="G250" s="108">
        <v>213</v>
      </c>
      <c r="H250" s="26">
        <f>535.9+94.5</f>
        <v>630.4</v>
      </c>
      <c r="L250">
        <v>94.5</v>
      </c>
    </row>
    <row r="251" spans="1:8" ht="20.25" hidden="1">
      <c r="A251" s="107"/>
      <c r="B251" s="20" t="s">
        <v>6</v>
      </c>
      <c r="C251" s="49">
        <v>966</v>
      </c>
      <c r="D251" s="107" t="s">
        <v>89</v>
      </c>
      <c r="E251" s="1" t="s">
        <v>253</v>
      </c>
      <c r="F251" s="108">
        <v>120</v>
      </c>
      <c r="G251" s="108"/>
      <c r="H251" s="26">
        <f>H252</f>
        <v>0</v>
      </c>
    </row>
    <row r="252" spans="1:8" ht="20.25" hidden="1">
      <c r="A252" s="107"/>
      <c r="B252" s="20" t="s">
        <v>250</v>
      </c>
      <c r="C252" s="49">
        <v>966</v>
      </c>
      <c r="D252" s="107" t="s">
        <v>89</v>
      </c>
      <c r="E252" s="1" t="s">
        <v>253</v>
      </c>
      <c r="F252" s="108">
        <v>122</v>
      </c>
      <c r="G252" s="108"/>
      <c r="H252" s="26">
        <f>H253</f>
        <v>0</v>
      </c>
    </row>
    <row r="253" spans="1:12" ht="12.75" hidden="1">
      <c r="A253" s="107"/>
      <c r="B253" s="20" t="s">
        <v>216</v>
      </c>
      <c r="C253" s="49">
        <v>966</v>
      </c>
      <c r="D253" s="107" t="s">
        <v>89</v>
      </c>
      <c r="E253" s="1" t="s">
        <v>253</v>
      </c>
      <c r="F253" s="108">
        <v>122</v>
      </c>
      <c r="G253" s="108">
        <v>222</v>
      </c>
      <c r="H253" s="26">
        <v>0</v>
      </c>
      <c r="L253">
        <v>-1.6</v>
      </c>
    </row>
    <row r="254" spans="1:8" ht="21" thickBot="1">
      <c r="A254" s="107" t="s">
        <v>431</v>
      </c>
      <c r="B254" s="147" t="s">
        <v>24</v>
      </c>
      <c r="C254" s="108">
        <v>966</v>
      </c>
      <c r="D254" s="107" t="s">
        <v>89</v>
      </c>
      <c r="E254" s="1" t="s">
        <v>253</v>
      </c>
      <c r="F254" s="108">
        <v>200</v>
      </c>
      <c r="G254" s="108"/>
      <c r="H254" s="26">
        <f>'ассигнов 3'!H256</f>
        <v>144.8</v>
      </c>
    </row>
    <row r="255" spans="1:8" ht="20.25" hidden="1">
      <c r="A255" s="107"/>
      <c r="B255" s="147" t="s">
        <v>108</v>
      </c>
      <c r="C255" s="108">
        <v>966</v>
      </c>
      <c r="D255" s="107" t="s">
        <v>89</v>
      </c>
      <c r="E255" s="1" t="s">
        <v>253</v>
      </c>
      <c r="F255" s="108">
        <v>240</v>
      </c>
      <c r="G255" s="108"/>
      <c r="H255" s="26">
        <f>H258+H256</f>
        <v>145.20000000000002</v>
      </c>
    </row>
    <row r="256" spans="1:8" ht="20.25" hidden="1">
      <c r="A256" s="107"/>
      <c r="B256" s="7" t="s">
        <v>202</v>
      </c>
      <c r="C256" s="108">
        <v>966</v>
      </c>
      <c r="D256" s="107" t="s">
        <v>89</v>
      </c>
      <c r="E256" s="1" t="s">
        <v>253</v>
      </c>
      <c r="F256" s="108">
        <v>242</v>
      </c>
      <c r="G256" s="108"/>
      <c r="H256" s="26">
        <f>H257</f>
        <v>0.4</v>
      </c>
    </row>
    <row r="257" spans="1:12" ht="12.75" hidden="1">
      <c r="A257" s="107"/>
      <c r="B257" s="7" t="s">
        <v>211</v>
      </c>
      <c r="C257" s="108">
        <v>966</v>
      </c>
      <c r="D257" s="107" t="s">
        <v>89</v>
      </c>
      <c r="E257" s="1" t="s">
        <v>253</v>
      </c>
      <c r="F257" s="108">
        <v>242</v>
      </c>
      <c r="G257" s="108">
        <v>221</v>
      </c>
      <c r="H257" s="26">
        <f>1.3-0.9</f>
        <v>0.4</v>
      </c>
      <c r="L257">
        <v>-0.9</v>
      </c>
    </row>
    <row r="258" spans="1:8" ht="20.25" hidden="1">
      <c r="A258" s="107"/>
      <c r="B258" s="147" t="s">
        <v>199</v>
      </c>
      <c r="C258" s="108">
        <v>966</v>
      </c>
      <c r="D258" s="107" t="s">
        <v>89</v>
      </c>
      <c r="E258" s="1" t="s">
        <v>253</v>
      </c>
      <c r="F258" s="108">
        <v>244</v>
      </c>
      <c r="G258" s="108"/>
      <c r="H258" s="26">
        <f>SUM(H259:H261)</f>
        <v>144.8</v>
      </c>
    </row>
    <row r="259" spans="1:12" ht="12.75" hidden="1">
      <c r="A259" s="107"/>
      <c r="B259" s="147" t="s">
        <v>208</v>
      </c>
      <c r="C259" s="108">
        <v>966</v>
      </c>
      <c r="D259" s="107" t="s">
        <v>89</v>
      </c>
      <c r="E259" s="1" t="s">
        <v>253</v>
      </c>
      <c r="F259" s="108">
        <v>244</v>
      </c>
      <c r="G259" s="108">
        <v>226</v>
      </c>
      <c r="H259" s="26">
        <f>200-195.9</f>
        <v>4.099999999999994</v>
      </c>
      <c r="L259">
        <v>-195.9</v>
      </c>
    </row>
    <row r="260" spans="1:12" ht="12.75" hidden="1">
      <c r="A260" s="107"/>
      <c r="B260" s="147" t="s">
        <v>218</v>
      </c>
      <c r="C260" s="108">
        <v>966</v>
      </c>
      <c r="D260" s="107" t="s">
        <v>89</v>
      </c>
      <c r="E260" s="1" t="s">
        <v>253</v>
      </c>
      <c r="F260" s="108">
        <v>244</v>
      </c>
      <c r="G260" s="108">
        <v>310</v>
      </c>
      <c r="H260" s="26">
        <f>150-79.3-70</f>
        <v>0.7000000000000028</v>
      </c>
      <c r="L260">
        <f>-79.3-70</f>
        <v>-149.3</v>
      </c>
    </row>
    <row r="261" spans="1:12" ht="12.75" hidden="1">
      <c r="A261" s="48"/>
      <c r="B261" s="236" t="s">
        <v>217</v>
      </c>
      <c r="C261" s="49">
        <v>966</v>
      </c>
      <c r="D261" s="48" t="s">
        <v>89</v>
      </c>
      <c r="E261" s="59" t="s">
        <v>253</v>
      </c>
      <c r="F261" s="49">
        <v>244</v>
      </c>
      <c r="G261" s="49">
        <v>340</v>
      </c>
      <c r="H261" s="28">
        <f>300-160</f>
        <v>140</v>
      </c>
      <c r="L261">
        <v>-160</v>
      </c>
    </row>
    <row r="262" spans="1:8" ht="30.75" thickBot="1">
      <c r="A262" s="40" t="s">
        <v>432</v>
      </c>
      <c r="B262" s="41" t="s">
        <v>266</v>
      </c>
      <c r="C262" s="42">
        <v>966</v>
      </c>
      <c r="D262" s="43" t="s">
        <v>89</v>
      </c>
      <c r="E262" s="43" t="s">
        <v>173</v>
      </c>
      <c r="F262" s="42"/>
      <c r="G262" s="42"/>
      <c r="H262" s="62">
        <f>H263</f>
        <v>330.79999999999995</v>
      </c>
    </row>
    <row r="263" spans="1:8" ht="20.25">
      <c r="A263" s="117" t="s">
        <v>256</v>
      </c>
      <c r="B263" s="136" t="s">
        <v>199</v>
      </c>
      <c r="C263" s="116">
        <v>966</v>
      </c>
      <c r="D263" s="117" t="s">
        <v>89</v>
      </c>
      <c r="E263" s="117" t="s">
        <v>173</v>
      </c>
      <c r="F263" s="116">
        <v>200</v>
      </c>
      <c r="G263" s="116"/>
      <c r="H263" s="281">
        <f>'ассигнов 3'!H265</f>
        <v>330.79999999999995</v>
      </c>
    </row>
    <row r="264" spans="1:8" ht="20.25" hidden="1">
      <c r="A264" s="46"/>
      <c r="B264" s="104" t="s">
        <v>199</v>
      </c>
      <c r="C264" s="49">
        <v>966</v>
      </c>
      <c r="D264" s="46" t="s">
        <v>89</v>
      </c>
      <c r="E264" s="58" t="s">
        <v>173</v>
      </c>
      <c r="F264" s="45">
        <v>244</v>
      </c>
      <c r="G264" s="45"/>
      <c r="H264" s="51">
        <v>377.4</v>
      </c>
    </row>
    <row r="265" spans="1:8" ht="12.75" hidden="1">
      <c r="A265" s="107"/>
      <c r="B265" s="147" t="s">
        <v>208</v>
      </c>
      <c r="C265" s="49">
        <v>966</v>
      </c>
      <c r="D265" s="107" t="s">
        <v>89</v>
      </c>
      <c r="E265" s="1" t="s">
        <v>173</v>
      </c>
      <c r="F265" s="108">
        <v>244</v>
      </c>
      <c r="G265" s="108">
        <v>266</v>
      </c>
      <c r="H265" s="26">
        <v>377.4</v>
      </c>
    </row>
    <row r="266" spans="1:8" ht="13.5" thickBot="1">
      <c r="A266" s="138" t="s">
        <v>134</v>
      </c>
      <c r="B266" s="140" t="s">
        <v>53</v>
      </c>
      <c r="C266" s="141">
        <v>966</v>
      </c>
      <c r="D266" s="139" t="s">
        <v>90</v>
      </c>
      <c r="E266" s="139"/>
      <c r="F266" s="141"/>
      <c r="G266" s="141"/>
      <c r="H266" s="137">
        <f>H267</f>
        <v>218.00000000000003</v>
      </c>
    </row>
    <row r="267" spans="1:8" ht="13.5" thickBot="1">
      <c r="A267" s="69" t="s">
        <v>166</v>
      </c>
      <c r="B267" s="70" t="s">
        <v>55</v>
      </c>
      <c r="C267" s="71">
        <v>966</v>
      </c>
      <c r="D267" s="72" t="s">
        <v>91</v>
      </c>
      <c r="E267" s="72"/>
      <c r="F267" s="71"/>
      <c r="G267" s="71"/>
      <c r="H267" s="73">
        <f>H268</f>
        <v>218.00000000000003</v>
      </c>
    </row>
    <row r="268" spans="1:8" ht="61.5" thickBot="1">
      <c r="A268" s="40" t="s">
        <v>51</v>
      </c>
      <c r="B268" s="41" t="s">
        <v>113</v>
      </c>
      <c r="C268" s="42">
        <v>966</v>
      </c>
      <c r="D268" s="43" t="s">
        <v>91</v>
      </c>
      <c r="E268" s="43" t="s">
        <v>187</v>
      </c>
      <c r="F268" s="42"/>
      <c r="G268" s="42"/>
      <c r="H268" s="62">
        <f>H269</f>
        <v>218.00000000000003</v>
      </c>
    </row>
    <row r="269" spans="1:8" ht="21" thickBot="1">
      <c r="A269" s="16" t="s">
        <v>52</v>
      </c>
      <c r="B269" s="50" t="s">
        <v>24</v>
      </c>
      <c r="C269" s="22">
        <v>966</v>
      </c>
      <c r="D269" s="16" t="s">
        <v>91</v>
      </c>
      <c r="E269" s="9" t="s">
        <v>187</v>
      </c>
      <c r="F269" s="22">
        <v>200</v>
      </c>
      <c r="G269" s="22"/>
      <c r="H269" s="25">
        <f>'ассигнов 3'!H272</f>
        <v>218.00000000000003</v>
      </c>
    </row>
    <row r="270" spans="1:8" ht="20.25" hidden="1">
      <c r="A270" s="16"/>
      <c r="B270" s="5" t="s">
        <v>108</v>
      </c>
      <c r="C270" s="22">
        <v>966</v>
      </c>
      <c r="D270" s="16" t="s">
        <v>91</v>
      </c>
      <c r="E270" s="9" t="s">
        <v>187</v>
      </c>
      <c r="F270" s="22">
        <v>240</v>
      </c>
      <c r="G270" s="22"/>
      <c r="H270" s="25">
        <f>H271</f>
        <v>455.6</v>
      </c>
    </row>
    <row r="271" spans="1:8" ht="20.25" hidden="1">
      <c r="A271" s="16"/>
      <c r="B271" s="33" t="s">
        <v>199</v>
      </c>
      <c r="C271" s="22">
        <v>966</v>
      </c>
      <c r="D271" s="16" t="s">
        <v>91</v>
      </c>
      <c r="E271" s="9" t="s">
        <v>187</v>
      </c>
      <c r="F271" s="22">
        <v>244</v>
      </c>
      <c r="G271" s="22"/>
      <c r="H271" s="25">
        <f>H272</f>
        <v>455.6</v>
      </c>
    </row>
    <row r="272" spans="1:8" ht="13.5" hidden="1" thickBot="1">
      <c r="A272" s="16"/>
      <c r="B272" s="5" t="s">
        <v>208</v>
      </c>
      <c r="C272" s="22">
        <v>966</v>
      </c>
      <c r="D272" s="16" t="s">
        <v>91</v>
      </c>
      <c r="E272" s="9" t="s">
        <v>187</v>
      </c>
      <c r="F272" s="22">
        <v>244</v>
      </c>
      <c r="G272" s="22">
        <v>226</v>
      </c>
      <c r="H272" s="25">
        <f>755.6-300</f>
        <v>455.6</v>
      </c>
    </row>
    <row r="273" spans="1:8" ht="13.5" thickBot="1">
      <c r="A273" s="75" t="s">
        <v>148</v>
      </c>
      <c r="B273" s="76" t="s">
        <v>58</v>
      </c>
      <c r="C273" s="77">
        <v>966</v>
      </c>
      <c r="D273" s="78" t="s">
        <v>92</v>
      </c>
      <c r="E273" s="78"/>
      <c r="F273" s="77"/>
      <c r="G273" s="77"/>
      <c r="H273" s="79">
        <f>H274</f>
        <v>32461.2</v>
      </c>
    </row>
    <row r="274" spans="1:8" ht="13.5" thickBot="1">
      <c r="A274" s="69" t="s">
        <v>54</v>
      </c>
      <c r="B274" s="70" t="s">
        <v>60</v>
      </c>
      <c r="C274" s="71">
        <v>966</v>
      </c>
      <c r="D274" s="72" t="s">
        <v>93</v>
      </c>
      <c r="E274" s="72"/>
      <c r="F274" s="71"/>
      <c r="G274" s="71"/>
      <c r="H274" s="73">
        <f>H275+H281</f>
        <v>32461.2</v>
      </c>
    </row>
    <row r="275" spans="1:8" ht="30.75" thickBot="1">
      <c r="A275" s="40" t="s">
        <v>56</v>
      </c>
      <c r="B275" s="41" t="s">
        <v>122</v>
      </c>
      <c r="C275" s="42">
        <v>966</v>
      </c>
      <c r="D275" s="43" t="s">
        <v>93</v>
      </c>
      <c r="E275" s="43" t="s">
        <v>188</v>
      </c>
      <c r="F275" s="42"/>
      <c r="G275" s="42"/>
      <c r="H275" s="62">
        <f>H276</f>
        <v>32061.2</v>
      </c>
    </row>
    <row r="276" spans="1:8" ht="21" thickBot="1">
      <c r="A276" s="16" t="s">
        <v>57</v>
      </c>
      <c r="B276" s="33" t="s">
        <v>24</v>
      </c>
      <c r="C276" s="22">
        <v>966</v>
      </c>
      <c r="D276" s="16" t="s">
        <v>93</v>
      </c>
      <c r="E276" s="9" t="s">
        <v>188</v>
      </c>
      <c r="F276" s="22">
        <v>200</v>
      </c>
      <c r="G276" s="22"/>
      <c r="H276" s="25">
        <f>'ассигнов 3'!H279</f>
        <v>32061.2</v>
      </c>
    </row>
    <row r="277" spans="1:8" ht="20.25" hidden="1">
      <c r="A277" s="16"/>
      <c r="B277" s="5" t="s">
        <v>108</v>
      </c>
      <c r="C277" s="22">
        <v>966</v>
      </c>
      <c r="D277" s="16" t="s">
        <v>93</v>
      </c>
      <c r="E277" s="9" t="s">
        <v>188</v>
      </c>
      <c r="F277" s="22">
        <v>240</v>
      </c>
      <c r="G277" s="22"/>
      <c r="H277" s="25">
        <f>H278</f>
        <v>27554.800000000003</v>
      </c>
    </row>
    <row r="278" spans="1:8" ht="21" hidden="1" thickBot="1">
      <c r="A278" s="16"/>
      <c r="B278" s="33" t="s">
        <v>199</v>
      </c>
      <c r="C278" s="22">
        <v>966</v>
      </c>
      <c r="D278" s="16" t="s">
        <v>93</v>
      </c>
      <c r="E278" s="9" t="s">
        <v>188</v>
      </c>
      <c r="F278" s="22">
        <v>244</v>
      </c>
      <c r="G278" s="22"/>
      <c r="H278" s="25">
        <f>SUM(H279:H280)</f>
        <v>27554.800000000003</v>
      </c>
    </row>
    <row r="279" spans="1:8" ht="12.75" hidden="1">
      <c r="A279" s="16"/>
      <c r="B279" s="5" t="s">
        <v>208</v>
      </c>
      <c r="C279" s="22">
        <v>966</v>
      </c>
      <c r="D279" s="16" t="s">
        <v>93</v>
      </c>
      <c r="E279" s="9" t="s">
        <v>188</v>
      </c>
      <c r="F279" s="22">
        <v>244</v>
      </c>
      <c r="G279" s="22">
        <v>226</v>
      </c>
      <c r="H279" s="25">
        <f>620-620</f>
        <v>0</v>
      </c>
    </row>
    <row r="280" spans="1:12" ht="13.5" hidden="1" thickBot="1">
      <c r="A280" s="16"/>
      <c r="B280" s="5" t="s">
        <v>203</v>
      </c>
      <c r="C280" s="22">
        <v>966</v>
      </c>
      <c r="D280" s="16" t="s">
        <v>93</v>
      </c>
      <c r="E280" s="9" t="s">
        <v>188</v>
      </c>
      <c r="F280" s="22">
        <v>244</v>
      </c>
      <c r="G280" s="22">
        <v>290</v>
      </c>
      <c r="H280" s="25">
        <f>8333.4+500.3+5988.1+1159.7+3006.4+2429-2420+620+7937.9</f>
        <v>27554.800000000003</v>
      </c>
      <c r="I280" t="s">
        <v>251</v>
      </c>
      <c r="L280">
        <v>7937.9</v>
      </c>
    </row>
    <row r="281" spans="1:8" ht="21" thickBot="1">
      <c r="A281" s="40" t="s">
        <v>149</v>
      </c>
      <c r="B281" s="41" t="s">
        <v>123</v>
      </c>
      <c r="C281" s="42">
        <v>966</v>
      </c>
      <c r="D281" s="43" t="s">
        <v>93</v>
      </c>
      <c r="E281" s="43" t="s">
        <v>189</v>
      </c>
      <c r="F281" s="42"/>
      <c r="G281" s="42"/>
      <c r="H281" s="62">
        <f>H282</f>
        <v>400</v>
      </c>
    </row>
    <row r="282" spans="1:8" ht="21" thickBot="1">
      <c r="A282" s="16" t="s">
        <v>150</v>
      </c>
      <c r="B282" s="33" t="s">
        <v>24</v>
      </c>
      <c r="C282" s="22">
        <v>966</v>
      </c>
      <c r="D282" s="16" t="s">
        <v>93</v>
      </c>
      <c r="E282" s="9" t="s">
        <v>189</v>
      </c>
      <c r="F282" s="22">
        <v>200</v>
      </c>
      <c r="G282" s="22"/>
      <c r="H282" s="25">
        <f>'ассигнов 3'!H285</f>
        <v>400</v>
      </c>
    </row>
    <row r="283" spans="1:8" ht="20.25" hidden="1">
      <c r="A283" s="16"/>
      <c r="B283" s="5" t="s">
        <v>108</v>
      </c>
      <c r="C283" s="22">
        <v>966</v>
      </c>
      <c r="D283" s="16" t="s">
        <v>93</v>
      </c>
      <c r="E283" s="9" t="s">
        <v>189</v>
      </c>
      <c r="F283" s="22">
        <v>240</v>
      </c>
      <c r="G283" s="22"/>
      <c r="H283" s="25">
        <f>H284</f>
        <v>400</v>
      </c>
    </row>
    <row r="284" spans="1:8" ht="20.25" hidden="1">
      <c r="A284" s="16"/>
      <c r="B284" s="33" t="s">
        <v>199</v>
      </c>
      <c r="C284" s="22">
        <v>966</v>
      </c>
      <c r="D284" s="16" t="s">
        <v>93</v>
      </c>
      <c r="E284" s="9" t="s">
        <v>189</v>
      </c>
      <c r="F284" s="22">
        <v>244</v>
      </c>
      <c r="G284" s="22"/>
      <c r="H284" s="25">
        <f>H285</f>
        <v>400</v>
      </c>
    </row>
    <row r="285" spans="1:12" ht="13.5" hidden="1" thickBot="1">
      <c r="A285" s="18"/>
      <c r="B285" s="6" t="s">
        <v>203</v>
      </c>
      <c r="C285" s="24">
        <v>966</v>
      </c>
      <c r="D285" s="18" t="s">
        <v>93</v>
      </c>
      <c r="E285" s="59" t="s">
        <v>189</v>
      </c>
      <c r="F285" s="24">
        <v>244</v>
      </c>
      <c r="G285" s="24">
        <v>290</v>
      </c>
      <c r="H285" s="28">
        <f>570-170</f>
        <v>400</v>
      </c>
      <c r="L285">
        <v>-170</v>
      </c>
    </row>
    <row r="286" spans="1:8" ht="13.5" thickBot="1">
      <c r="A286" s="75" t="s">
        <v>151</v>
      </c>
      <c r="B286" s="76" t="s">
        <v>62</v>
      </c>
      <c r="C286" s="77">
        <v>966</v>
      </c>
      <c r="D286" s="78">
        <v>1000</v>
      </c>
      <c r="E286" s="78"/>
      <c r="F286" s="77"/>
      <c r="G286" s="77"/>
      <c r="H286" s="79">
        <f>H287+H293</f>
        <v>9779.519999999999</v>
      </c>
    </row>
    <row r="287" spans="1:8" ht="13.5" thickBot="1">
      <c r="A287" s="69" t="s">
        <v>59</v>
      </c>
      <c r="B287" s="70" t="s">
        <v>64</v>
      </c>
      <c r="C287" s="71">
        <v>966</v>
      </c>
      <c r="D287" s="72">
        <v>1003</v>
      </c>
      <c r="E287" s="72"/>
      <c r="F287" s="71"/>
      <c r="G287" s="71"/>
      <c r="H287" s="73">
        <f>H288</f>
        <v>397.82</v>
      </c>
    </row>
    <row r="288" spans="1:8" ht="41.25" thickBot="1">
      <c r="A288" s="40" t="s">
        <v>61</v>
      </c>
      <c r="B288" s="41" t="s">
        <v>99</v>
      </c>
      <c r="C288" s="42">
        <v>966</v>
      </c>
      <c r="D288" s="43">
        <v>1003</v>
      </c>
      <c r="E288" s="43" t="s">
        <v>190</v>
      </c>
      <c r="F288" s="42"/>
      <c r="G288" s="42"/>
      <c r="H288" s="62">
        <f>H289</f>
        <v>397.82</v>
      </c>
    </row>
    <row r="289" spans="1:8" ht="13.5" thickBot="1">
      <c r="A289" s="9" t="s">
        <v>152</v>
      </c>
      <c r="B289" s="10" t="s">
        <v>100</v>
      </c>
      <c r="C289" s="29">
        <v>966</v>
      </c>
      <c r="D289" s="9">
        <v>1003</v>
      </c>
      <c r="E289" s="9" t="s">
        <v>190</v>
      </c>
      <c r="F289" s="29">
        <v>300</v>
      </c>
      <c r="G289" s="29"/>
      <c r="H289" s="25">
        <f>'ассигнов 3'!H292</f>
        <v>397.82</v>
      </c>
    </row>
    <row r="290" spans="1:8" ht="12.75" hidden="1">
      <c r="A290" s="9"/>
      <c r="B290" s="35" t="s">
        <v>102</v>
      </c>
      <c r="C290" s="29">
        <v>966</v>
      </c>
      <c r="D290" s="9">
        <v>1003</v>
      </c>
      <c r="E290" s="9" t="s">
        <v>190</v>
      </c>
      <c r="F290" s="29">
        <v>310</v>
      </c>
      <c r="G290" s="29"/>
      <c r="H290" s="25">
        <f>H291</f>
        <v>397.82</v>
      </c>
    </row>
    <row r="291" spans="1:8" ht="12.75" hidden="1">
      <c r="A291" s="9"/>
      <c r="B291" s="106" t="s">
        <v>201</v>
      </c>
      <c r="C291" s="29">
        <v>966</v>
      </c>
      <c r="D291" s="9">
        <v>1003</v>
      </c>
      <c r="E291" s="9" t="s">
        <v>190</v>
      </c>
      <c r="F291" s="29">
        <v>312</v>
      </c>
      <c r="G291" s="29"/>
      <c r="H291" s="25">
        <f>H292</f>
        <v>397.82</v>
      </c>
    </row>
    <row r="292" spans="1:8" ht="21" hidden="1" thickBot="1">
      <c r="A292" s="9"/>
      <c r="B292" s="35" t="s">
        <v>242</v>
      </c>
      <c r="C292" s="29">
        <v>966</v>
      </c>
      <c r="D292" s="9">
        <v>1003</v>
      </c>
      <c r="E292" s="9" t="s">
        <v>190</v>
      </c>
      <c r="F292" s="29">
        <v>312</v>
      </c>
      <c r="G292" s="29">
        <v>263</v>
      </c>
      <c r="H292" s="25">
        <f>405.32-7.5</f>
        <v>397.82</v>
      </c>
    </row>
    <row r="293" spans="1:8" ht="13.5" thickBot="1">
      <c r="A293" s="69" t="s">
        <v>153</v>
      </c>
      <c r="B293" s="70" t="s">
        <v>66</v>
      </c>
      <c r="C293" s="71">
        <v>966</v>
      </c>
      <c r="D293" s="72">
        <v>1004</v>
      </c>
      <c r="E293" s="72"/>
      <c r="F293" s="71"/>
      <c r="G293" s="71"/>
      <c r="H293" s="73">
        <f>H294+H298</f>
        <v>9381.699999999999</v>
      </c>
    </row>
    <row r="294" spans="1:12" ht="41.25" thickBot="1">
      <c r="A294" s="40" t="s">
        <v>154</v>
      </c>
      <c r="B294" s="41" t="s">
        <v>126</v>
      </c>
      <c r="C294" s="42">
        <v>966</v>
      </c>
      <c r="D294" s="43">
        <v>1004</v>
      </c>
      <c r="E294" s="43" t="s">
        <v>245</v>
      </c>
      <c r="F294" s="42"/>
      <c r="G294" s="42"/>
      <c r="H294" s="62">
        <f>H295</f>
        <v>6793.099999999999</v>
      </c>
      <c r="L294" s="266"/>
    </row>
    <row r="295" spans="1:8" ht="13.5" thickBot="1">
      <c r="A295" s="9" t="s">
        <v>155</v>
      </c>
      <c r="B295" s="10" t="s">
        <v>100</v>
      </c>
      <c r="C295" s="29">
        <v>966</v>
      </c>
      <c r="D295" s="9">
        <v>1004</v>
      </c>
      <c r="E295" s="9" t="s">
        <v>245</v>
      </c>
      <c r="F295" s="29">
        <v>300</v>
      </c>
      <c r="G295" s="29"/>
      <c r="H295" s="25">
        <f>'ассигнов 3'!H298</f>
        <v>6793.099999999999</v>
      </c>
    </row>
    <row r="296" spans="1:8" ht="12.75" hidden="1">
      <c r="A296" s="9"/>
      <c r="B296" s="35" t="s">
        <v>102</v>
      </c>
      <c r="C296" s="29">
        <v>966</v>
      </c>
      <c r="D296" s="9">
        <v>1004</v>
      </c>
      <c r="E296" s="9" t="s">
        <v>245</v>
      </c>
      <c r="F296" s="29">
        <v>310</v>
      </c>
      <c r="G296" s="29"/>
      <c r="H296" s="25">
        <f>H297</f>
        <v>6793.099999999999</v>
      </c>
    </row>
    <row r="297" spans="1:8" ht="21" hidden="1" thickBot="1">
      <c r="A297" s="9"/>
      <c r="B297" s="35" t="s">
        <v>200</v>
      </c>
      <c r="C297" s="29">
        <v>966</v>
      </c>
      <c r="D297" s="9">
        <v>1004</v>
      </c>
      <c r="E297" s="9" t="s">
        <v>245</v>
      </c>
      <c r="F297" s="29">
        <v>313</v>
      </c>
      <c r="G297" s="29">
        <v>262</v>
      </c>
      <c r="H297" s="25">
        <f>5915.9+695.3+181.9</f>
        <v>6793.099999999999</v>
      </c>
    </row>
    <row r="298" spans="1:8" ht="30.75" thickBot="1">
      <c r="A298" s="40" t="s">
        <v>156</v>
      </c>
      <c r="B298" s="41" t="s">
        <v>125</v>
      </c>
      <c r="C298" s="42">
        <v>966</v>
      </c>
      <c r="D298" s="43">
        <v>1004</v>
      </c>
      <c r="E298" s="43" t="s">
        <v>246</v>
      </c>
      <c r="F298" s="42"/>
      <c r="G298" s="42"/>
      <c r="H298" s="62">
        <f>H300</f>
        <v>2588.6</v>
      </c>
    </row>
    <row r="299" spans="1:8" ht="13.5" thickBot="1">
      <c r="A299" s="9" t="s">
        <v>157</v>
      </c>
      <c r="B299" s="10" t="s">
        <v>466</v>
      </c>
      <c r="C299" s="29">
        <v>966</v>
      </c>
      <c r="D299" s="9">
        <v>1004</v>
      </c>
      <c r="E299" s="9" t="s">
        <v>246</v>
      </c>
      <c r="F299" s="29">
        <v>300</v>
      </c>
      <c r="G299" s="29"/>
      <c r="H299" s="25">
        <f>'ассигнов 3'!H302</f>
        <v>2588.6</v>
      </c>
    </row>
    <row r="300" spans="1:8" ht="13.5" customHeight="1" hidden="1">
      <c r="A300" s="9"/>
      <c r="B300" s="106" t="s">
        <v>110</v>
      </c>
      <c r="C300" s="29">
        <v>966</v>
      </c>
      <c r="D300" s="9">
        <v>1004</v>
      </c>
      <c r="E300" s="9" t="s">
        <v>246</v>
      </c>
      <c r="F300" s="29">
        <v>323</v>
      </c>
      <c r="G300" s="29"/>
      <c r="H300" s="25">
        <f>H301</f>
        <v>2588.6</v>
      </c>
    </row>
    <row r="301" spans="1:8" ht="21" hidden="1" thickBot="1">
      <c r="A301" s="9"/>
      <c r="B301" s="33" t="s">
        <v>200</v>
      </c>
      <c r="C301" s="29">
        <v>966</v>
      </c>
      <c r="D301" s="9">
        <v>1004</v>
      </c>
      <c r="E301" s="9" t="s">
        <v>246</v>
      </c>
      <c r="F301" s="29">
        <v>323</v>
      </c>
      <c r="G301" s="29">
        <v>226</v>
      </c>
      <c r="H301" s="25">
        <f>3333.7-325.4-419.7</f>
        <v>2588.6</v>
      </c>
    </row>
    <row r="302" spans="1:8" ht="12.75">
      <c r="A302" s="95" t="s">
        <v>158</v>
      </c>
      <c r="B302" s="96" t="s">
        <v>67</v>
      </c>
      <c r="C302" s="97">
        <v>966</v>
      </c>
      <c r="D302" s="98">
        <v>1100</v>
      </c>
      <c r="E302" s="98"/>
      <c r="F302" s="97"/>
      <c r="G302" s="97"/>
      <c r="H302" s="99">
        <f>H306+H303</f>
        <v>2080</v>
      </c>
    </row>
    <row r="303" spans="1:8" ht="12.75">
      <c r="A303" s="100" t="s">
        <v>63</v>
      </c>
      <c r="B303" s="101" t="s">
        <v>425</v>
      </c>
      <c r="C303" s="102">
        <v>966</v>
      </c>
      <c r="D303" s="100" t="s">
        <v>424</v>
      </c>
      <c r="E303" s="100"/>
      <c r="F303" s="102"/>
      <c r="G303" s="102"/>
      <c r="H303" s="103">
        <f>H304</f>
        <v>440</v>
      </c>
    </row>
    <row r="304" spans="1:8" ht="71.25">
      <c r="A304" s="87" t="s">
        <v>65</v>
      </c>
      <c r="B304" s="88" t="s">
        <v>127</v>
      </c>
      <c r="C304" s="89">
        <v>966</v>
      </c>
      <c r="D304" s="87" t="s">
        <v>424</v>
      </c>
      <c r="E304" s="87" t="s">
        <v>248</v>
      </c>
      <c r="F304" s="89"/>
      <c r="G304" s="89"/>
      <c r="H304" s="90">
        <f>H305</f>
        <v>440</v>
      </c>
    </row>
    <row r="305" spans="1:8" ht="20.25">
      <c r="A305" s="17" t="s">
        <v>159</v>
      </c>
      <c r="B305" s="35" t="s">
        <v>24</v>
      </c>
      <c r="C305" s="23">
        <v>966</v>
      </c>
      <c r="D305" s="17" t="s">
        <v>424</v>
      </c>
      <c r="E305" s="1" t="s">
        <v>248</v>
      </c>
      <c r="F305" s="23">
        <v>200</v>
      </c>
      <c r="G305" s="23"/>
      <c r="H305" s="26">
        <f>'ассигнов 3'!H309</f>
        <v>440</v>
      </c>
    </row>
    <row r="306" spans="1:8" ht="12.75">
      <c r="A306" s="100" t="s">
        <v>300</v>
      </c>
      <c r="B306" s="101" t="s">
        <v>69</v>
      </c>
      <c r="C306" s="102">
        <v>966</v>
      </c>
      <c r="D306" s="100">
        <v>1102</v>
      </c>
      <c r="E306" s="100"/>
      <c r="F306" s="102"/>
      <c r="G306" s="102"/>
      <c r="H306" s="103">
        <f>H307</f>
        <v>1640</v>
      </c>
    </row>
    <row r="307" spans="1:8" ht="71.25">
      <c r="A307" s="87" t="s">
        <v>433</v>
      </c>
      <c r="B307" s="88" t="s">
        <v>127</v>
      </c>
      <c r="C307" s="89">
        <v>966</v>
      </c>
      <c r="D307" s="87">
        <v>1102</v>
      </c>
      <c r="E307" s="87" t="s">
        <v>248</v>
      </c>
      <c r="F307" s="89"/>
      <c r="G307" s="89"/>
      <c r="H307" s="90">
        <f>H308</f>
        <v>1640</v>
      </c>
    </row>
    <row r="308" spans="1:8" ht="20.25">
      <c r="A308" s="17" t="s">
        <v>434</v>
      </c>
      <c r="B308" s="35" t="s">
        <v>24</v>
      </c>
      <c r="C308" s="23">
        <v>966</v>
      </c>
      <c r="D308" s="17">
        <v>1102</v>
      </c>
      <c r="E308" s="1" t="s">
        <v>248</v>
      </c>
      <c r="F308" s="23">
        <v>200</v>
      </c>
      <c r="G308" s="23"/>
      <c r="H308" s="26">
        <f>'ассигнов 3'!H314</f>
        <v>1640</v>
      </c>
    </row>
    <row r="309" spans="1:8" ht="20.25" hidden="1">
      <c r="A309" s="17"/>
      <c r="B309" s="5" t="s">
        <v>108</v>
      </c>
      <c r="C309" s="23">
        <v>966</v>
      </c>
      <c r="D309" s="17">
        <v>1102</v>
      </c>
      <c r="E309" s="1" t="s">
        <v>248</v>
      </c>
      <c r="F309" s="23">
        <v>240</v>
      </c>
      <c r="G309" s="23"/>
      <c r="H309" s="26">
        <f>H310</f>
        <v>600</v>
      </c>
    </row>
    <row r="310" spans="1:8" ht="20.25" hidden="1">
      <c r="A310" s="17"/>
      <c r="B310" s="33" t="s">
        <v>199</v>
      </c>
      <c r="C310" s="23">
        <v>966</v>
      </c>
      <c r="D310" s="17">
        <v>1102</v>
      </c>
      <c r="E310" s="1" t="s">
        <v>248</v>
      </c>
      <c r="F310" s="23">
        <v>244</v>
      </c>
      <c r="G310" s="23"/>
      <c r="H310" s="26">
        <f>H311</f>
        <v>600</v>
      </c>
    </row>
    <row r="311" spans="1:12" ht="12.75" hidden="1">
      <c r="A311" s="17"/>
      <c r="B311" s="5" t="s">
        <v>203</v>
      </c>
      <c r="C311" s="23">
        <v>966</v>
      </c>
      <c r="D311" s="17">
        <v>1102</v>
      </c>
      <c r="E311" s="1" t="s">
        <v>248</v>
      </c>
      <c r="F311" s="23">
        <v>244</v>
      </c>
      <c r="G311" s="23">
        <v>290</v>
      </c>
      <c r="H311" s="26">
        <f>200+400</f>
        <v>600</v>
      </c>
      <c r="L311">
        <v>400</v>
      </c>
    </row>
    <row r="312" spans="1:8" ht="12.75">
      <c r="A312" s="91" t="s">
        <v>160</v>
      </c>
      <c r="B312" s="92" t="s">
        <v>72</v>
      </c>
      <c r="C312" s="93">
        <v>966</v>
      </c>
      <c r="D312" s="91">
        <v>1200</v>
      </c>
      <c r="E312" s="91"/>
      <c r="F312" s="93"/>
      <c r="G312" s="93"/>
      <c r="H312" s="94">
        <f>H313</f>
        <v>1650.4</v>
      </c>
    </row>
    <row r="313" spans="1:8" ht="12.75">
      <c r="A313" s="100" t="s">
        <v>68</v>
      </c>
      <c r="B313" s="101" t="s">
        <v>73</v>
      </c>
      <c r="C313" s="102">
        <v>966</v>
      </c>
      <c r="D313" s="100">
        <v>1202</v>
      </c>
      <c r="E313" s="100"/>
      <c r="F313" s="102"/>
      <c r="G313" s="102"/>
      <c r="H313" s="103">
        <f>H314</f>
        <v>1650.4</v>
      </c>
    </row>
    <row r="314" spans="1:8" ht="91.5">
      <c r="A314" s="87" t="s">
        <v>70</v>
      </c>
      <c r="B314" s="88" t="s">
        <v>111</v>
      </c>
      <c r="C314" s="89">
        <v>966</v>
      </c>
      <c r="D314" s="87">
        <v>1202</v>
      </c>
      <c r="E314" s="87" t="s">
        <v>191</v>
      </c>
      <c r="F314" s="89"/>
      <c r="G314" s="89"/>
      <c r="H314" s="90">
        <f>H315</f>
        <v>1650.4</v>
      </c>
    </row>
    <row r="315" spans="1:8" ht="20.25">
      <c r="A315" s="17" t="s">
        <v>71</v>
      </c>
      <c r="B315" s="35" t="s">
        <v>24</v>
      </c>
      <c r="C315" s="23">
        <v>966</v>
      </c>
      <c r="D315" s="17">
        <v>1202</v>
      </c>
      <c r="E315" s="1" t="s">
        <v>191</v>
      </c>
      <c r="F315" s="23">
        <v>200</v>
      </c>
      <c r="G315" s="23"/>
      <c r="H315" s="26">
        <f>'ассигнов 3'!H321</f>
        <v>1650.4</v>
      </c>
    </row>
    <row r="316" spans="1:8" ht="20.25" hidden="1">
      <c r="A316" s="17"/>
      <c r="B316" s="5" t="s">
        <v>108</v>
      </c>
      <c r="C316" s="23">
        <v>966</v>
      </c>
      <c r="D316" s="17">
        <v>1202</v>
      </c>
      <c r="E316" s="1" t="s">
        <v>191</v>
      </c>
      <c r="F316" s="23">
        <v>240</v>
      </c>
      <c r="G316" s="23"/>
      <c r="H316" s="26">
        <f>H317</f>
        <v>1650.4</v>
      </c>
    </row>
    <row r="317" spans="1:8" ht="20.25" hidden="1">
      <c r="A317" s="17"/>
      <c r="B317" s="33" t="s">
        <v>199</v>
      </c>
      <c r="C317" s="23">
        <v>966</v>
      </c>
      <c r="D317" s="17">
        <v>1202</v>
      </c>
      <c r="E317" s="1" t="s">
        <v>191</v>
      </c>
      <c r="F317" s="23">
        <v>244</v>
      </c>
      <c r="G317" s="23"/>
      <c r="H317" s="26">
        <f>H318+H319</f>
        <v>1650.4</v>
      </c>
    </row>
    <row r="318" spans="1:8" ht="12.75" hidden="1">
      <c r="A318" s="17"/>
      <c r="B318" s="5" t="s">
        <v>208</v>
      </c>
      <c r="C318" s="23">
        <v>966</v>
      </c>
      <c r="D318" s="17">
        <v>1202</v>
      </c>
      <c r="E318" s="1" t="s">
        <v>191</v>
      </c>
      <c r="F318" s="23">
        <v>244</v>
      </c>
      <c r="G318" s="23">
        <v>226</v>
      </c>
      <c r="H318" s="26">
        <v>145.1</v>
      </c>
    </row>
    <row r="319" spans="1:9" ht="12.75" hidden="1">
      <c r="A319" s="17"/>
      <c r="B319" s="5" t="s">
        <v>217</v>
      </c>
      <c r="C319" s="23">
        <v>966</v>
      </c>
      <c r="D319" s="17">
        <v>1202</v>
      </c>
      <c r="E319" s="1" t="s">
        <v>191</v>
      </c>
      <c r="F319" s="23">
        <v>244</v>
      </c>
      <c r="G319" s="23">
        <v>340</v>
      </c>
      <c r="H319" s="26">
        <f>2854.9-490-859.6</f>
        <v>1505.3000000000002</v>
      </c>
      <c r="I319" t="s">
        <v>251</v>
      </c>
    </row>
    <row r="320" spans="1:11" ht="12.75">
      <c r="A320" s="30"/>
      <c r="B320" s="31" t="s">
        <v>74</v>
      </c>
      <c r="C320" s="32"/>
      <c r="D320" s="32"/>
      <c r="E320" s="60"/>
      <c r="F320" s="32"/>
      <c r="G320" s="32"/>
      <c r="H320" s="39">
        <f>H50+H10</f>
        <v>115230.22</v>
      </c>
      <c r="K320" s="266"/>
    </row>
  </sheetData>
  <sheetProtection/>
  <printOptions/>
  <pageMargins left="0.2362204724409449" right="0.2362204724409449" top="0.1968503937007874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7"/>
  <sheetViews>
    <sheetView tabSelected="1" view="pageBreakPreview" zoomScaleNormal="115" zoomScaleSheetLayoutView="100" zoomScalePageLayoutView="0" workbookViewId="0" topLeftCell="A200">
      <selection activeCell="H220" sqref="H220"/>
    </sheetView>
  </sheetViews>
  <sheetFormatPr defaultColWidth="9.00390625" defaultRowHeight="12.75"/>
  <cols>
    <col min="1" max="1" width="6.625" style="13" customWidth="1"/>
    <col min="2" max="2" width="41.875" style="2" customWidth="1"/>
    <col min="3" max="3" width="6.125" style="11" hidden="1" customWidth="1"/>
    <col min="4" max="4" width="8.50390625" style="11" customWidth="1"/>
    <col min="5" max="5" width="10.625" style="61" customWidth="1"/>
    <col min="6" max="6" width="6.125" style="11" customWidth="1"/>
    <col min="7" max="7" width="7.50390625" style="11" hidden="1" customWidth="1"/>
    <col min="8" max="8" width="21.50390625" style="36" customWidth="1"/>
    <col min="9" max="9" width="0" style="135" hidden="1" customWidth="1"/>
    <col min="10" max="10" width="11.00390625" style="0" hidden="1" customWidth="1"/>
    <col min="11" max="12" width="0" style="0" hidden="1" customWidth="1"/>
    <col min="13" max="13" width="8.875" style="0" customWidth="1"/>
  </cols>
  <sheetData>
    <row r="1" spans="1:8" ht="13.5">
      <c r="A1" s="123"/>
      <c r="B1" s="123"/>
      <c r="C1" s="123"/>
      <c r="E1"/>
      <c r="F1"/>
      <c r="G1"/>
      <c r="H1" s="121" t="s">
        <v>198</v>
      </c>
    </row>
    <row r="2" spans="1:8" ht="13.5">
      <c r="A2" s="123"/>
      <c r="B2" s="123"/>
      <c r="C2" s="123"/>
      <c r="E2"/>
      <c r="F2"/>
      <c r="G2"/>
      <c r="H2" s="121" t="s">
        <v>234</v>
      </c>
    </row>
    <row r="3" spans="1:8" ht="13.5">
      <c r="A3" s="127"/>
      <c r="B3" s="127"/>
      <c r="C3" s="123"/>
      <c r="E3"/>
      <c r="F3"/>
      <c r="G3"/>
      <c r="H3" s="121" t="s">
        <v>235</v>
      </c>
    </row>
    <row r="4" spans="1:8" ht="13.5">
      <c r="A4" s="127"/>
      <c r="B4" s="132"/>
      <c r="C4" s="123"/>
      <c r="E4"/>
      <c r="F4"/>
      <c r="G4"/>
      <c r="H4" s="121" t="s">
        <v>197</v>
      </c>
    </row>
    <row r="5" spans="1:8" ht="13.5">
      <c r="A5" s="127"/>
      <c r="B5" s="133"/>
      <c r="C5" s="123"/>
      <c r="E5"/>
      <c r="F5"/>
      <c r="G5"/>
      <c r="H5" s="122" t="s">
        <v>461</v>
      </c>
    </row>
    <row r="6" spans="1:8" ht="13.5">
      <c r="A6" s="127"/>
      <c r="B6" s="128"/>
      <c r="D6" s="126" t="s">
        <v>237</v>
      </c>
      <c r="E6"/>
      <c r="F6"/>
      <c r="G6"/>
      <c r="H6" s="122"/>
    </row>
    <row r="7" spans="1:12" s="113" customFormat="1" ht="12.75" customHeight="1">
      <c r="A7" s="129"/>
      <c r="B7" s="130"/>
      <c r="D7" s="126" t="s">
        <v>236</v>
      </c>
      <c r="E7" s="124"/>
      <c r="F7" s="124"/>
      <c r="G7" s="124"/>
      <c r="H7" s="124"/>
      <c r="I7" s="135"/>
      <c r="J7"/>
      <c r="K7"/>
      <c r="L7"/>
    </row>
    <row r="8" spans="1:12" s="113" customFormat="1" ht="12.75">
      <c r="A8" s="131"/>
      <c r="B8" s="130"/>
      <c r="D8" s="126" t="s">
        <v>239</v>
      </c>
      <c r="E8" s="124"/>
      <c r="F8" s="124"/>
      <c r="G8" s="124"/>
      <c r="H8" s="124"/>
      <c r="I8" s="135"/>
      <c r="J8"/>
      <c r="K8"/>
      <c r="L8"/>
    </row>
    <row r="9" spans="1:12" s="113" customFormat="1" ht="12.75">
      <c r="A9" s="14"/>
      <c r="B9" s="130"/>
      <c r="D9" s="125" t="s">
        <v>238</v>
      </c>
      <c r="E9" s="55"/>
      <c r="F9" s="12"/>
      <c r="G9" s="12"/>
      <c r="H9" s="37"/>
      <c r="I9" s="135"/>
      <c r="J9"/>
      <c r="K9"/>
      <c r="L9"/>
    </row>
    <row r="10" spans="1:12" s="113" customFormat="1" ht="12.75">
      <c r="A10" s="14"/>
      <c r="D10" s="125" t="s">
        <v>240</v>
      </c>
      <c r="E10" s="55"/>
      <c r="F10" s="12"/>
      <c r="G10" s="12"/>
      <c r="H10" s="37"/>
      <c r="I10" s="135"/>
      <c r="J10"/>
      <c r="K10"/>
      <c r="L10"/>
    </row>
    <row r="11" spans="1:9" ht="30.75" thickBot="1">
      <c r="A11" s="15" t="s">
        <v>75</v>
      </c>
      <c r="B11" s="3" t="s">
        <v>76</v>
      </c>
      <c r="C11" s="21" t="s">
        <v>77</v>
      </c>
      <c r="D11" s="15" t="s">
        <v>219</v>
      </c>
      <c r="E11" s="56" t="s">
        <v>78</v>
      </c>
      <c r="F11" s="21" t="s">
        <v>220</v>
      </c>
      <c r="G11" s="21" t="s">
        <v>222</v>
      </c>
      <c r="H11" s="38" t="s">
        <v>221</v>
      </c>
      <c r="I11"/>
    </row>
    <row r="12" spans="1:9" ht="32.25">
      <c r="A12" s="254"/>
      <c r="B12" s="255" t="s">
        <v>264</v>
      </c>
      <c r="C12" s="256" t="s">
        <v>82</v>
      </c>
      <c r="D12" s="257"/>
      <c r="E12" s="257"/>
      <c r="F12" s="256"/>
      <c r="G12" s="256"/>
      <c r="H12" s="258">
        <f>H13</f>
        <v>3509.3999999999996</v>
      </c>
      <c r="I12"/>
    </row>
    <row r="13" spans="1:9" ht="12.75">
      <c r="A13" s="91" t="s">
        <v>0</v>
      </c>
      <c r="B13" s="264" t="s">
        <v>1</v>
      </c>
      <c r="C13" s="93">
        <v>928</v>
      </c>
      <c r="D13" s="91" t="s">
        <v>80</v>
      </c>
      <c r="E13" s="91"/>
      <c r="F13" s="93"/>
      <c r="G13" s="93"/>
      <c r="H13" s="94">
        <f>H14+H21</f>
        <v>3509.3999999999996</v>
      </c>
      <c r="I13"/>
    </row>
    <row r="14" spans="1:9" ht="21" thickBot="1">
      <c r="A14" s="259" t="s">
        <v>2</v>
      </c>
      <c r="B14" s="260" t="s">
        <v>3</v>
      </c>
      <c r="C14" s="261">
        <v>928</v>
      </c>
      <c r="D14" s="262" t="s">
        <v>79</v>
      </c>
      <c r="E14" s="262"/>
      <c r="F14" s="261"/>
      <c r="G14" s="261"/>
      <c r="H14" s="263">
        <f>H15</f>
        <v>1228.8</v>
      </c>
      <c r="I14"/>
    </row>
    <row r="15" spans="1:9" ht="13.5" thickBot="1">
      <c r="A15" s="40" t="s">
        <v>4</v>
      </c>
      <c r="B15" s="86" t="s">
        <v>5</v>
      </c>
      <c r="C15" s="42">
        <v>928</v>
      </c>
      <c r="D15" s="43" t="s">
        <v>79</v>
      </c>
      <c r="E15" s="43" t="s">
        <v>167</v>
      </c>
      <c r="F15" s="42"/>
      <c r="G15" s="42"/>
      <c r="H15" s="62">
        <f>H16</f>
        <v>1228.8</v>
      </c>
      <c r="I15"/>
    </row>
    <row r="16" spans="1:9" ht="40.5">
      <c r="A16" s="16" t="s">
        <v>106</v>
      </c>
      <c r="B16" s="19" t="s">
        <v>105</v>
      </c>
      <c r="C16" s="22">
        <v>928</v>
      </c>
      <c r="D16" s="16" t="s">
        <v>79</v>
      </c>
      <c r="E16" s="54" t="s">
        <v>167</v>
      </c>
      <c r="F16" s="22">
        <v>100</v>
      </c>
      <c r="G16" s="22" t="s">
        <v>82</v>
      </c>
      <c r="H16" s="25">
        <f>H17</f>
        <v>1228.8</v>
      </c>
      <c r="I16"/>
    </row>
    <row r="17" spans="1:9" ht="21" thickBot="1">
      <c r="A17" s="16"/>
      <c r="B17" s="20" t="s">
        <v>6</v>
      </c>
      <c r="C17" s="22">
        <v>928</v>
      </c>
      <c r="D17" s="16" t="s">
        <v>79</v>
      </c>
      <c r="E17" s="1" t="s">
        <v>167</v>
      </c>
      <c r="F17" s="22">
        <v>120</v>
      </c>
      <c r="G17" s="22"/>
      <c r="H17" s="25">
        <f>H18+H19</f>
        <v>1228.8</v>
      </c>
      <c r="I17"/>
    </row>
    <row r="18" spans="1:9" ht="12.75" hidden="1">
      <c r="A18" s="16"/>
      <c r="B18" s="20" t="s">
        <v>210</v>
      </c>
      <c r="C18" s="22">
        <v>928</v>
      </c>
      <c r="D18" s="16" t="s">
        <v>79</v>
      </c>
      <c r="E18" s="1" t="s">
        <v>167</v>
      </c>
      <c r="F18" s="22">
        <v>121</v>
      </c>
      <c r="G18" s="22"/>
      <c r="H18" s="25">
        <v>942.5</v>
      </c>
      <c r="I18"/>
    </row>
    <row r="19" spans="1:9" ht="30" hidden="1">
      <c r="A19" s="16"/>
      <c r="B19" s="20" t="s">
        <v>209</v>
      </c>
      <c r="C19" s="22">
        <v>928</v>
      </c>
      <c r="D19" s="16" t="s">
        <v>79</v>
      </c>
      <c r="E19" s="1" t="s">
        <v>167</v>
      </c>
      <c r="F19" s="22">
        <v>129</v>
      </c>
      <c r="G19" s="22"/>
      <c r="H19" s="25">
        <f>H20</f>
        <v>286.3</v>
      </c>
      <c r="I19"/>
    </row>
    <row r="20" spans="1:13" ht="13.5" hidden="1" thickBot="1">
      <c r="A20" s="16"/>
      <c r="B20" s="20" t="s">
        <v>207</v>
      </c>
      <c r="C20" s="22">
        <v>928</v>
      </c>
      <c r="D20" s="16" t="s">
        <v>79</v>
      </c>
      <c r="E20" s="105" t="s">
        <v>167</v>
      </c>
      <c r="F20" s="22">
        <v>129</v>
      </c>
      <c r="G20" s="22">
        <v>213</v>
      </c>
      <c r="H20" s="25">
        <f>260.6+16+9.7</f>
        <v>286.3</v>
      </c>
      <c r="I20"/>
      <c r="L20">
        <v>16</v>
      </c>
      <c r="M20">
        <v>9.7</v>
      </c>
    </row>
    <row r="21" spans="1:9" ht="30.75" thickBot="1">
      <c r="A21" s="80" t="s">
        <v>7</v>
      </c>
      <c r="B21" s="85" t="s">
        <v>8</v>
      </c>
      <c r="C21" s="82">
        <v>928</v>
      </c>
      <c r="D21" s="83" t="s">
        <v>81</v>
      </c>
      <c r="E21" s="83"/>
      <c r="F21" s="82"/>
      <c r="G21" s="82"/>
      <c r="H21" s="84">
        <f>H22+H27+H44</f>
        <v>2280.6</v>
      </c>
      <c r="I21"/>
    </row>
    <row r="22" spans="1:9" ht="21" thickBot="1">
      <c r="A22" s="40" t="s">
        <v>103</v>
      </c>
      <c r="B22" s="41" t="s">
        <v>10</v>
      </c>
      <c r="C22" s="42">
        <v>928</v>
      </c>
      <c r="D22" s="43" t="s">
        <v>81</v>
      </c>
      <c r="E22" s="43" t="s">
        <v>168</v>
      </c>
      <c r="F22" s="42"/>
      <c r="G22" s="42"/>
      <c r="H22" s="62">
        <f>H23</f>
        <v>265.2</v>
      </c>
      <c r="I22"/>
    </row>
    <row r="23" spans="1:9" ht="40.5">
      <c r="A23" s="16" t="s">
        <v>107</v>
      </c>
      <c r="B23" s="4" t="s">
        <v>105</v>
      </c>
      <c r="C23" s="22">
        <v>928</v>
      </c>
      <c r="D23" s="16" t="s">
        <v>81</v>
      </c>
      <c r="E23" s="54" t="s">
        <v>168</v>
      </c>
      <c r="F23" s="22">
        <v>100</v>
      </c>
      <c r="G23" s="22"/>
      <c r="H23" s="25">
        <f>H24</f>
        <v>265.2</v>
      </c>
      <c r="I23"/>
    </row>
    <row r="24" spans="1:9" ht="21" thickBot="1">
      <c r="A24" s="16"/>
      <c r="B24" s="20" t="s">
        <v>6</v>
      </c>
      <c r="C24" s="22">
        <v>928</v>
      </c>
      <c r="D24" s="16" t="s">
        <v>81</v>
      </c>
      <c r="E24" s="9" t="s">
        <v>168</v>
      </c>
      <c r="F24" s="22">
        <v>120</v>
      </c>
      <c r="G24" s="22"/>
      <c r="H24" s="25">
        <f>H25</f>
        <v>265.2</v>
      </c>
      <c r="I24"/>
    </row>
    <row r="25" spans="1:9" ht="40.5" hidden="1">
      <c r="A25" s="16"/>
      <c r="B25" s="20" t="s">
        <v>241</v>
      </c>
      <c r="C25" s="22">
        <v>928</v>
      </c>
      <c r="D25" s="16" t="s">
        <v>81</v>
      </c>
      <c r="E25" s="1" t="s">
        <v>168</v>
      </c>
      <c r="F25" s="22">
        <v>123</v>
      </c>
      <c r="G25" s="22"/>
      <c r="H25" s="25">
        <f>H26</f>
        <v>265.2</v>
      </c>
      <c r="I25"/>
    </row>
    <row r="26" spans="1:13" ht="13.5" hidden="1" thickBot="1">
      <c r="A26" s="16"/>
      <c r="B26" s="20" t="s">
        <v>208</v>
      </c>
      <c r="C26" s="22">
        <v>928</v>
      </c>
      <c r="D26" s="16" t="s">
        <v>81</v>
      </c>
      <c r="E26" s="105" t="s">
        <v>168</v>
      </c>
      <c r="F26" s="22">
        <v>123</v>
      </c>
      <c r="G26" s="22">
        <v>226</v>
      </c>
      <c r="H26" s="25">
        <f>285.8-5-15.6</f>
        <v>265.2</v>
      </c>
      <c r="I26"/>
      <c r="K26">
        <v>2</v>
      </c>
      <c r="M26">
        <v>-15.6</v>
      </c>
    </row>
    <row r="27" spans="1:9" ht="21" thickBot="1">
      <c r="A27" s="40" t="s">
        <v>9</v>
      </c>
      <c r="B27" s="41" t="s">
        <v>12</v>
      </c>
      <c r="C27" s="42">
        <v>928</v>
      </c>
      <c r="D27" s="43" t="s">
        <v>81</v>
      </c>
      <c r="E27" s="43" t="s">
        <v>170</v>
      </c>
      <c r="F27" s="42"/>
      <c r="G27" s="42"/>
      <c r="H27" s="62">
        <f>H28+H34</f>
        <v>1940.6</v>
      </c>
      <c r="I27"/>
    </row>
    <row r="28" spans="1:9" ht="40.5">
      <c r="A28" s="16" t="s">
        <v>11</v>
      </c>
      <c r="B28" s="4" t="s">
        <v>105</v>
      </c>
      <c r="C28" s="22">
        <v>928</v>
      </c>
      <c r="D28" s="16" t="s">
        <v>81</v>
      </c>
      <c r="E28" s="54" t="s">
        <v>170</v>
      </c>
      <c r="F28" s="22">
        <v>100</v>
      </c>
      <c r="G28" s="22"/>
      <c r="H28" s="25">
        <f>H29</f>
        <v>1564</v>
      </c>
      <c r="I28"/>
    </row>
    <row r="29" spans="1:9" ht="20.25">
      <c r="A29" s="16"/>
      <c r="B29" s="20" t="s">
        <v>6</v>
      </c>
      <c r="C29" s="22">
        <v>928</v>
      </c>
      <c r="D29" s="16" t="s">
        <v>81</v>
      </c>
      <c r="E29" s="1" t="s">
        <v>170</v>
      </c>
      <c r="F29" s="22">
        <v>120</v>
      </c>
      <c r="G29" s="22"/>
      <c r="H29" s="25">
        <f>H30+H32</f>
        <v>1564</v>
      </c>
      <c r="I29"/>
    </row>
    <row r="30" spans="1:9" ht="12.75" hidden="1">
      <c r="A30" s="16"/>
      <c r="B30" s="20" t="s">
        <v>210</v>
      </c>
      <c r="C30" s="22">
        <v>928</v>
      </c>
      <c r="D30" s="16" t="s">
        <v>81</v>
      </c>
      <c r="E30" s="1" t="s">
        <v>170</v>
      </c>
      <c r="F30" s="22">
        <v>121</v>
      </c>
      <c r="G30" s="22"/>
      <c r="H30" s="25">
        <f>H31</f>
        <v>1166</v>
      </c>
      <c r="I30"/>
    </row>
    <row r="31" spans="1:9" ht="12.75" hidden="1">
      <c r="A31" s="16"/>
      <c r="B31" s="20" t="s">
        <v>206</v>
      </c>
      <c r="C31" s="22">
        <v>928</v>
      </c>
      <c r="D31" s="16" t="s">
        <v>81</v>
      </c>
      <c r="E31" s="1" t="s">
        <v>170</v>
      </c>
      <c r="F31" s="22">
        <v>121</v>
      </c>
      <c r="G31" s="22">
        <v>211</v>
      </c>
      <c r="H31" s="25">
        <f>1093.3+72.7</f>
        <v>1166</v>
      </c>
      <c r="I31"/>
    </row>
    <row r="32" spans="1:9" ht="30" hidden="1">
      <c r="A32" s="16"/>
      <c r="B32" s="20" t="s">
        <v>209</v>
      </c>
      <c r="C32" s="22">
        <v>928</v>
      </c>
      <c r="D32" s="16" t="s">
        <v>81</v>
      </c>
      <c r="E32" s="1" t="s">
        <v>170</v>
      </c>
      <c r="F32" s="22">
        <v>129</v>
      </c>
      <c r="G32" s="22"/>
      <c r="H32" s="25">
        <f>H33</f>
        <v>398</v>
      </c>
      <c r="I32"/>
    </row>
    <row r="33" spans="1:13" ht="12.75" hidden="1">
      <c r="A33" s="16"/>
      <c r="B33" s="20" t="s">
        <v>207</v>
      </c>
      <c r="C33" s="22">
        <v>928</v>
      </c>
      <c r="D33" s="16" t="s">
        <v>81</v>
      </c>
      <c r="E33" s="1" t="s">
        <v>170</v>
      </c>
      <c r="F33" s="22">
        <v>129</v>
      </c>
      <c r="G33" s="22">
        <v>213</v>
      </c>
      <c r="H33" s="25">
        <f>330.2+22+74-28.2</f>
        <v>398</v>
      </c>
      <c r="I33"/>
      <c r="L33">
        <v>74</v>
      </c>
      <c r="M33">
        <v>-28.2</v>
      </c>
    </row>
    <row r="34" spans="1:9" ht="20.25">
      <c r="A34" s="17" t="s">
        <v>204</v>
      </c>
      <c r="B34" s="33" t="s">
        <v>24</v>
      </c>
      <c r="C34" s="23">
        <v>928</v>
      </c>
      <c r="D34" s="17" t="s">
        <v>81</v>
      </c>
      <c r="E34" s="9" t="s">
        <v>170</v>
      </c>
      <c r="F34" s="23">
        <v>200</v>
      </c>
      <c r="G34" s="23"/>
      <c r="H34" s="26">
        <f>H35</f>
        <v>376.6</v>
      </c>
      <c r="I34"/>
    </row>
    <row r="35" spans="1:9" ht="21" thickBot="1">
      <c r="A35" s="17"/>
      <c r="B35" s="5" t="s">
        <v>108</v>
      </c>
      <c r="C35" s="23">
        <v>928</v>
      </c>
      <c r="D35" s="17" t="s">
        <v>81</v>
      </c>
      <c r="E35" s="1" t="s">
        <v>170</v>
      </c>
      <c r="F35" s="23">
        <v>240</v>
      </c>
      <c r="G35" s="23"/>
      <c r="H35" s="26">
        <f>H36+H38</f>
        <v>376.6</v>
      </c>
      <c r="I35"/>
    </row>
    <row r="36" spans="1:9" ht="20.25" hidden="1">
      <c r="A36" s="17"/>
      <c r="B36" s="7" t="s">
        <v>202</v>
      </c>
      <c r="C36" s="23">
        <v>928</v>
      </c>
      <c r="D36" s="17" t="s">
        <v>81</v>
      </c>
      <c r="E36" s="1" t="s">
        <v>170</v>
      </c>
      <c r="F36" s="23">
        <v>242</v>
      </c>
      <c r="G36" s="23"/>
      <c r="H36" s="26">
        <f>H37</f>
        <v>34</v>
      </c>
      <c r="I36"/>
    </row>
    <row r="37" spans="1:9" ht="12.75" hidden="1">
      <c r="A37" s="17"/>
      <c r="B37" s="7" t="s">
        <v>211</v>
      </c>
      <c r="C37" s="23">
        <v>928</v>
      </c>
      <c r="D37" s="17" t="s">
        <v>81</v>
      </c>
      <c r="E37" s="1" t="s">
        <v>170</v>
      </c>
      <c r="F37" s="23">
        <v>242</v>
      </c>
      <c r="G37" s="23">
        <v>221</v>
      </c>
      <c r="H37" s="26">
        <f>200-166</f>
        <v>34</v>
      </c>
      <c r="I37"/>
    </row>
    <row r="38" spans="1:9" ht="20.25" hidden="1">
      <c r="A38" s="17"/>
      <c r="B38" s="109" t="s">
        <v>199</v>
      </c>
      <c r="C38" s="23">
        <v>928</v>
      </c>
      <c r="D38" s="17" t="s">
        <v>81</v>
      </c>
      <c r="E38" s="58" t="s">
        <v>170</v>
      </c>
      <c r="F38" s="23">
        <v>244</v>
      </c>
      <c r="G38" s="23"/>
      <c r="H38" s="240">
        <f>H39+H40+H41+H42+H43</f>
        <v>342.6</v>
      </c>
      <c r="I38"/>
    </row>
    <row r="39" spans="1:13" ht="10.5" customHeight="1" hidden="1">
      <c r="A39" s="18"/>
      <c r="B39" s="6" t="s">
        <v>212</v>
      </c>
      <c r="C39" s="23">
        <v>928</v>
      </c>
      <c r="D39" s="18" t="s">
        <v>81</v>
      </c>
      <c r="E39" s="1" t="s">
        <v>170</v>
      </c>
      <c r="F39" s="24">
        <v>244</v>
      </c>
      <c r="G39" s="24">
        <v>223</v>
      </c>
      <c r="H39" s="241">
        <f>114+21.2+12.3</f>
        <v>147.5</v>
      </c>
      <c r="I39"/>
      <c r="M39">
        <v>12.3</v>
      </c>
    </row>
    <row r="40" spans="1:9" ht="12.75" hidden="1">
      <c r="A40" s="17"/>
      <c r="B40" s="5" t="s">
        <v>213</v>
      </c>
      <c r="C40" s="23">
        <v>928</v>
      </c>
      <c r="D40" s="18" t="s">
        <v>81</v>
      </c>
      <c r="E40" s="1" t="s">
        <v>170</v>
      </c>
      <c r="F40" s="24">
        <v>244</v>
      </c>
      <c r="G40" s="23">
        <v>225</v>
      </c>
      <c r="H40" s="240">
        <f>30+99.2</f>
        <v>129.2</v>
      </c>
      <c r="I40"/>
    </row>
    <row r="41" spans="1:12" ht="12.75" hidden="1">
      <c r="A41" s="17"/>
      <c r="B41" s="5" t="s">
        <v>208</v>
      </c>
      <c r="C41" s="23">
        <v>928</v>
      </c>
      <c r="D41" s="17" t="s">
        <v>81</v>
      </c>
      <c r="E41" s="1" t="s">
        <v>170</v>
      </c>
      <c r="F41" s="23">
        <v>244</v>
      </c>
      <c r="G41" s="108">
        <v>226</v>
      </c>
      <c r="H41" s="240">
        <f>56+54-45.6</f>
        <v>64.4</v>
      </c>
      <c r="I41"/>
      <c r="L41">
        <v>-45.6</v>
      </c>
    </row>
    <row r="42" spans="1:12" ht="12.75" hidden="1">
      <c r="A42" s="17"/>
      <c r="B42" s="5" t="s">
        <v>218</v>
      </c>
      <c r="C42" s="23">
        <v>928</v>
      </c>
      <c r="D42" s="17" t="s">
        <v>81</v>
      </c>
      <c r="E42" s="1" t="s">
        <v>170</v>
      </c>
      <c r="F42" s="23">
        <v>244</v>
      </c>
      <c r="G42" s="108">
        <v>310</v>
      </c>
      <c r="H42" s="240">
        <f>20-18.5</f>
        <v>1.5</v>
      </c>
      <c r="I42"/>
      <c r="L42">
        <v>-18.5</v>
      </c>
    </row>
    <row r="43" spans="1:12" ht="13.5" hidden="1" thickBot="1">
      <c r="A43" s="18"/>
      <c r="B43" s="6" t="s">
        <v>217</v>
      </c>
      <c r="C43" s="24">
        <v>928</v>
      </c>
      <c r="D43" s="18" t="s">
        <v>81</v>
      </c>
      <c r="E43" s="59" t="s">
        <v>170</v>
      </c>
      <c r="F43" s="24">
        <v>244</v>
      </c>
      <c r="G43" s="49">
        <v>340</v>
      </c>
      <c r="H43" s="241">
        <f>100+4.5-104.5</f>
        <v>0</v>
      </c>
      <c r="I43"/>
      <c r="K43">
        <v>2</v>
      </c>
      <c r="L43">
        <v>-104.5</v>
      </c>
    </row>
    <row r="44" spans="1:9" ht="13.5" thickBot="1">
      <c r="A44" s="40" t="s">
        <v>104</v>
      </c>
      <c r="B44" s="41" t="s">
        <v>13</v>
      </c>
      <c r="C44" s="42">
        <v>928</v>
      </c>
      <c r="D44" s="43" t="s">
        <v>81</v>
      </c>
      <c r="E44" s="43" t="s">
        <v>169</v>
      </c>
      <c r="F44" s="42"/>
      <c r="G44" s="42"/>
      <c r="H44" s="62">
        <f>H45</f>
        <v>74.8</v>
      </c>
      <c r="I44"/>
    </row>
    <row r="45" spans="1:9" ht="12.75">
      <c r="A45" s="16" t="s">
        <v>214</v>
      </c>
      <c r="B45" s="4" t="s">
        <v>109</v>
      </c>
      <c r="C45" s="22">
        <v>928</v>
      </c>
      <c r="D45" s="16" t="s">
        <v>81</v>
      </c>
      <c r="E45" s="57" t="s">
        <v>169</v>
      </c>
      <c r="F45" s="22">
        <v>800</v>
      </c>
      <c r="G45" s="22"/>
      <c r="H45" s="25">
        <f>H46</f>
        <v>74.8</v>
      </c>
      <c r="I45"/>
    </row>
    <row r="46" spans="1:9" ht="13.5" thickBot="1">
      <c r="A46" s="16"/>
      <c r="B46" s="7" t="s">
        <v>14</v>
      </c>
      <c r="C46" s="22">
        <v>928</v>
      </c>
      <c r="D46" s="16" t="s">
        <v>81</v>
      </c>
      <c r="E46" s="1" t="s">
        <v>169</v>
      </c>
      <c r="F46" s="22">
        <v>850</v>
      </c>
      <c r="G46" s="22"/>
      <c r="H46" s="25">
        <f>H47+H49</f>
        <v>74.8</v>
      </c>
      <c r="I46"/>
    </row>
    <row r="47" spans="1:9" ht="12.75" hidden="1">
      <c r="A47" s="16"/>
      <c r="B47" s="236" t="s">
        <v>252</v>
      </c>
      <c r="C47" s="22">
        <v>928</v>
      </c>
      <c r="D47" s="16" t="s">
        <v>81</v>
      </c>
      <c r="E47" s="58" t="s">
        <v>169</v>
      </c>
      <c r="F47" s="22">
        <v>851</v>
      </c>
      <c r="G47" s="22"/>
      <c r="H47" s="25">
        <f>H48</f>
        <v>0.5</v>
      </c>
      <c r="I47"/>
    </row>
    <row r="48" spans="1:11" ht="12.75" hidden="1">
      <c r="A48" s="16"/>
      <c r="B48" s="236" t="s">
        <v>203</v>
      </c>
      <c r="C48" s="22">
        <v>928</v>
      </c>
      <c r="D48" s="16" t="s">
        <v>81</v>
      </c>
      <c r="E48" s="1" t="s">
        <v>169</v>
      </c>
      <c r="F48" s="22">
        <v>851</v>
      </c>
      <c r="G48" s="22">
        <v>290</v>
      </c>
      <c r="H48" s="25">
        <v>0.5</v>
      </c>
      <c r="I48"/>
      <c r="K48">
        <v>2</v>
      </c>
    </row>
    <row r="49" spans="1:9" ht="12.75" hidden="1">
      <c r="A49" s="16"/>
      <c r="B49" s="159" t="s">
        <v>215</v>
      </c>
      <c r="C49" s="22">
        <v>928</v>
      </c>
      <c r="D49" s="16" t="s">
        <v>81</v>
      </c>
      <c r="E49" s="1" t="s">
        <v>169</v>
      </c>
      <c r="F49" s="22">
        <v>853</v>
      </c>
      <c r="G49" s="22"/>
      <c r="H49" s="25">
        <f>H50</f>
        <v>74.3</v>
      </c>
      <c r="I49"/>
    </row>
    <row r="50" spans="1:9" ht="13.5" hidden="1" thickBot="1">
      <c r="A50" s="16"/>
      <c r="B50" s="114" t="s">
        <v>203</v>
      </c>
      <c r="C50" s="22">
        <v>928</v>
      </c>
      <c r="D50" s="16" t="s">
        <v>81</v>
      </c>
      <c r="E50" s="1" t="s">
        <v>169</v>
      </c>
      <c r="F50" s="22">
        <v>853</v>
      </c>
      <c r="G50" s="22">
        <v>290</v>
      </c>
      <c r="H50" s="25">
        <v>74.3</v>
      </c>
      <c r="I50"/>
    </row>
    <row r="51" spans="1:9" ht="33" thickBot="1">
      <c r="A51" s="149"/>
      <c r="B51" s="160" t="s">
        <v>265</v>
      </c>
      <c r="C51" s="151"/>
      <c r="D51" s="152"/>
      <c r="E51" s="152"/>
      <c r="F51" s="151"/>
      <c r="G51" s="151"/>
      <c r="H51" s="161">
        <f>H52+H185+H199+H269+H276+H289+H306+H318</f>
        <v>111720.82</v>
      </c>
      <c r="I51"/>
    </row>
    <row r="52" spans="1:9" ht="13.5" thickBot="1">
      <c r="A52" s="75" t="s">
        <v>224</v>
      </c>
      <c r="B52" s="76" t="s">
        <v>1</v>
      </c>
      <c r="C52" s="77">
        <v>966</v>
      </c>
      <c r="D52" s="78" t="s">
        <v>80</v>
      </c>
      <c r="E52" s="78"/>
      <c r="F52" s="77"/>
      <c r="G52" s="77"/>
      <c r="H52" s="79">
        <f>H53+H119+H124</f>
        <v>31527.100000000002</v>
      </c>
      <c r="I52"/>
    </row>
    <row r="53" spans="1:9" ht="30.75" thickBot="1">
      <c r="A53" s="69" t="s">
        <v>15</v>
      </c>
      <c r="B53" s="70" t="s">
        <v>16</v>
      </c>
      <c r="C53" s="71">
        <v>966</v>
      </c>
      <c r="D53" s="72" t="s">
        <v>84</v>
      </c>
      <c r="E53" s="72"/>
      <c r="F53" s="71"/>
      <c r="G53" s="71"/>
      <c r="H53" s="73">
        <f>H54+H61+H95+H100</f>
        <v>28894.600000000002</v>
      </c>
      <c r="I53"/>
    </row>
    <row r="54" spans="1:9" ht="12.75">
      <c r="A54" s="64" t="s">
        <v>17</v>
      </c>
      <c r="B54" s="65" t="s">
        <v>18</v>
      </c>
      <c r="C54" s="66">
        <v>966</v>
      </c>
      <c r="D54" s="67" t="s">
        <v>84</v>
      </c>
      <c r="E54" s="67" t="s">
        <v>171</v>
      </c>
      <c r="F54" s="66"/>
      <c r="G54" s="66"/>
      <c r="H54" s="68">
        <f>H56</f>
        <v>1175.7</v>
      </c>
      <c r="I54"/>
    </row>
    <row r="55" spans="1:9" ht="40.5">
      <c r="A55" s="17" t="s">
        <v>19</v>
      </c>
      <c r="B55" s="5" t="s">
        <v>105</v>
      </c>
      <c r="C55" s="27">
        <v>966</v>
      </c>
      <c r="D55" s="1" t="s">
        <v>84</v>
      </c>
      <c r="E55" s="1" t="s">
        <v>171</v>
      </c>
      <c r="F55" s="27">
        <v>100</v>
      </c>
      <c r="G55" s="27"/>
      <c r="H55" s="26">
        <f>H56</f>
        <v>1175.7</v>
      </c>
      <c r="I55"/>
    </row>
    <row r="56" spans="1:9" ht="21" thickBot="1">
      <c r="A56" s="17"/>
      <c r="B56" s="20" t="s">
        <v>6</v>
      </c>
      <c r="C56" s="27">
        <v>966</v>
      </c>
      <c r="D56" s="1" t="s">
        <v>84</v>
      </c>
      <c r="E56" s="9" t="s">
        <v>171</v>
      </c>
      <c r="F56" s="27">
        <v>120</v>
      </c>
      <c r="G56" s="27"/>
      <c r="H56" s="26">
        <f>H57+H59</f>
        <v>1175.7</v>
      </c>
      <c r="I56"/>
    </row>
    <row r="57" spans="1:9" ht="12.75" hidden="1">
      <c r="A57" s="16"/>
      <c r="B57" s="20" t="s">
        <v>210</v>
      </c>
      <c r="C57" s="27">
        <v>966</v>
      </c>
      <c r="D57" s="1" t="s">
        <v>84</v>
      </c>
      <c r="E57" s="1" t="s">
        <v>171</v>
      </c>
      <c r="F57" s="22">
        <v>121</v>
      </c>
      <c r="G57" s="22"/>
      <c r="H57" s="25">
        <f>H58</f>
        <v>942.5</v>
      </c>
      <c r="I57"/>
    </row>
    <row r="58" spans="1:9" ht="12.75" hidden="1">
      <c r="A58" s="16"/>
      <c r="B58" s="20" t="s">
        <v>206</v>
      </c>
      <c r="C58" s="27">
        <v>966</v>
      </c>
      <c r="D58" s="1" t="s">
        <v>84</v>
      </c>
      <c r="E58" s="1" t="s">
        <v>171</v>
      </c>
      <c r="F58" s="22">
        <v>121</v>
      </c>
      <c r="G58" s="22">
        <v>211</v>
      </c>
      <c r="H58" s="25">
        <v>942.5</v>
      </c>
      <c r="I58"/>
    </row>
    <row r="59" spans="1:9" ht="30" hidden="1">
      <c r="A59" s="16"/>
      <c r="B59" s="20" t="s">
        <v>209</v>
      </c>
      <c r="C59" s="27">
        <v>966</v>
      </c>
      <c r="D59" s="1" t="s">
        <v>84</v>
      </c>
      <c r="E59" s="1" t="s">
        <v>171</v>
      </c>
      <c r="F59" s="22">
        <v>129</v>
      </c>
      <c r="G59" s="22"/>
      <c r="H59" s="25">
        <f>H60</f>
        <v>233.20000000000002</v>
      </c>
      <c r="I59"/>
    </row>
    <row r="60" spans="1:13" ht="13.5" hidden="1" thickBot="1">
      <c r="A60" s="16"/>
      <c r="B60" s="20" t="s">
        <v>207</v>
      </c>
      <c r="C60" s="27">
        <v>966</v>
      </c>
      <c r="D60" s="1" t="s">
        <v>84</v>
      </c>
      <c r="E60" s="58" t="s">
        <v>171</v>
      </c>
      <c r="F60" s="22">
        <v>129</v>
      </c>
      <c r="G60" s="22">
        <v>213</v>
      </c>
      <c r="H60" s="25">
        <f>260.6-27.4</f>
        <v>233.20000000000002</v>
      </c>
      <c r="I60"/>
      <c r="M60">
        <v>-27.4</v>
      </c>
    </row>
    <row r="61" spans="1:9" ht="21" thickBot="1">
      <c r="A61" s="40" t="s">
        <v>20</v>
      </c>
      <c r="B61" s="41" t="s">
        <v>21</v>
      </c>
      <c r="C61" s="42">
        <v>966</v>
      </c>
      <c r="D61" s="43" t="s">
        <v>84</v>
      </c>
      <c r="E61" s="43" t="s">
        <v>172</v>
      </c>
      <c r="F61" s="42"/>
      <c r="G61" s="42"/>
      <c r="H61" s="62">
        <f>H62+H71+H86</f>
        <v>23606.7</v>
      </c>
      <c r="I61"/>
    </row>
    <row r="62" spans="1:9" ht="40.5">
      <c r="A62" s="17" t="s">
        <v>22</v>
      </c>
      <c r="B62" s="104" t="s">
        <v>105</v>
      </c>
      <c r="C62" s="45">
        <v>966</v>
      </c>
      <c r="D62" s="46" t="s">
        <v>84</v>
      </c>
      <c r="E62" s="57" t="s">
        <v>172</v>
      </c>
      <c r="F62" s="45">
        <v>100</v>
      </c>
      <c r="G62" s="45"/>
      <c r="H62" s="51">
        <f>H63</f>
        <v>19536.3</v>
      </c>
      <c r="I62"/>
    </row>
    <row r="63" spans="1:9" ht="20.25">
      <c r="A63" s="17"/>
      <c r="B63" s="20" t="s">
        <v>6</v>
      </c>
      <c r="C63" s="27">
        <v>966</v>
      </c>
      <c r="D63" s="1" t="s">
        <v>84</v>
      </c>
      <c r="E63" s="1" t="s">
        <v>172</v>
      </c>
      <c r="F63" s="27">
        <v>120</v>
      </c>
      <c r="G63" s="27"/>
      <c r="H63" s="26">
        <f>H64+H66+H69</f>
        <v>19536.3</v>
      </c>
      <c r="I63"/>
    </row>
    <row r="64" spans="1:9" ht="12.75" hidden="1">
      <c r="A64" s="16"/>
      <c r="B64" s="20" t="s">
        <v>210</v>
      </c>
      <c r="C64" s="27">
        <v>966</v>
      </c>
      <c r="D64" s="1" t="s">
        <v>84</v>
      </c>
      <c r="E64" s="1" t="s">
        <v>172</v>
      </c>
      <c r="F64" s="22">
        <v>121</v>
      </c>
      <c r="G64" s="22"/>
      <c r="H64" s="25">
        <f>H65</f>
        <v>15247.4</v>
      </c>
      <c r="I64"/>
    </row>
    <row r="65" spans="1:12" ht="12.75" hidden="1">
      <c r="A65" s="16"/>
      <c r="B65" s="20" t="s">
        <v>206</v>
      </c>
      <c r="C65" s="27">
        <v>966</v>
      </c>
      <c r="D65" s="1" t="s">
        <v>84</v>
      </c>
      <c r="E65" s="1" t="s">
        <v>172</v>
      </c>
      <c r="F65" s="22">
        <v>121</v>
      </c>
      <c r="G65" s="22">
        <v>211</v>
      </c>
      <c r="H65" s="25">
        <f>16221.4-58.8-915.2</f>
        <v>15247.4</v>
      </c>
      <c r="I65"/>
      <c r="L65">
        <v>-915.2</v>
      </c>
    </row>
    <row r="66" spans="1:9" ht="20.25" hidden="1">
      <c r="A66" s="16"/>
      <c r="B66" s="20" t="s">
        <v>250</v>
      </c>
      <c r="C66" s="27">
        <v>966</v>
      </c>
      <c r="D66" s="1" t="s">
        <v>84</v>
      </c>
      <c r="E66" s="1" t="s">
        <v>172</v>
      </c>
      <c r="F66" s="22">
        <v>122</v>
      </c>
      <c r="G66" s="22"/>
      <c r="H66" s="25">
        <f>H67+H68</f>
        <v>129.5</v>
      </c>
      <c r="I66"/>
    </row>
    <row r="67" spans="1:9" ht="12.75" hidden="1">
      <c r="A67" s="16"/>
      <c r="B67" s="20" t="s">
        <v>249</v>
      </c>
      <c r="C67" s="27">
        <v>966</v>
      </c>
      <c r="D67" s="1" t="s">
        <v>84</v>
      </c>
      <c r="E67" s="1" t="s">
        <v>172</v>
      </c>
      <c r="F67" s="22">
        <v>122</v>
      </c>
      <c r="G67" s="22">
        <v>212</v>
      </c>
      <c r="H67" s="25">
        <v>0.1</v>
      </c>
      <c r="I67"/>
    </row>
    <row r="68" spans="1:13" ht="12.75" hidden="1">
      <c r="A68" s="16"/>
      <c r="B68" s="20" t="s">
        <v>216</v>
      </c>
      <c r="C68" s="27">
        <v>966</v>
      </c>
      <c r="D68" s="1" t="s">
        <v>84</v>
      </c>
      <c r="E68" s="1" t="s">
        <v>172</v>
      </c>
      <c r="F68" s="22">
        <v>122</v>
      </c>
      <c r="G68" s="22">
        <v>222</v>
      </c>
      <c r="H68" s="25">
        <f>220-84.9-5.7</f>
        <v>129.4</v>
      </c>
      <c r="I68" t="s">
        <v>251</v>
      </c>
      <c r="L68">
        <v>-84.9</v>
      </c>
      <c r="M68">
        <v>-5.7</v>
      </c>
    </row>
    <row r="69" spans="1:9" ht="30" hidden="1">
      <c r="A69" s="16"/>
      <c r="B69" s="20" t="s">
        <v>209</v>
      </c>
      <c r="C69" s="27">
        <v>966</v>
      </c>
      <c r="D69" s="1" t="s">
        <v>84</v>
      </c>
      <c r="E69" s="1" t="s">
        <v>172</v>
      </c>
      <c r="F69" s="22">
        <v>129</v>
      </c>
      <c r="G69" s="22"/>
      <c r="H69" s="25">
        <f>H70</f>
        <v>4159.400000000001</v>
      </c>
      <c r="I69"/>
    </row>
    <row r="70" spans="1:13" ht="12.75" hidden="1">
      <c r="A70" s="16"/>
      <c r="B70" s="20" t="s">
        <v>207</v>
      </c>
      <c r="C70" s="27">
        <v>966</v>
      </c>
      <c r="D70" s="1" t="s">
        <v>84</v>
      </c>
      <c r="E70" s="1" t="s">
        <v>172</v>
      </c>
      <c r="F70" s="22">
        <v>129</v>
      </c>
      <c r="G70" s="22">
        <v>213</v>
      </c>
      <c r="H70" s="25">
        <f>4892.5-11.4-5.2-271.2-445.3</f>
        <v>4159.400000000001</v>
      </c>
      <c r="I70"/>
      <c r="L70">
        <v>-271.2</v>
      </c>
      <c r="M70">
        <v>-445.3</v>
      </c>
    </row>
    <row r="71" spans="1:9" ht="20.25">
      <c r="A71" s="17" t="s">
        <v>23</v>
      </c>
      <c r="B71" s="35" t="s">
        <v>24</v>
      </c>
      <c r="C71" s="27">
        <v>966</v>
      </c>
      <c r="D71" s="17" t="s">
        <v>84</v>
      </c>
      <c r="E71" s="1" t="s">
        <v>172</v>
      </c>
      <c r="F71" s="23">
        <v>200</v>
      </c>
      <c r="G71" s="23"/>
      <c r="H71" s="26">
        <f>H72</f>
        <v>4020.4</v>
      </c>
      <c r="I71"/>
    </row>
    <row r="72" spans="1:9" ht="20.25">
      <c r="A72" s="17"/>
      <c r="B72" s="5" t="s">
        <v>108</v>
      </c>
      <c r="C72" s="27">
        <v>966</v>
      </c>
      <c r="D72" s="17" t="s">
        <v>84</v>
      </c>
      <c r="E72" s="1" t="s">
        <v>172</v>
      </c>
      <c r="F72" s="23">
        <v>240</v>
      </c>
      <c r="G72" s="23"/>
      <c r="H72" s="26">
        <f>H73+H78</f>
        <v>4020.4</v>
      </c>
      <c r="I72"/>
    </row>
    <row r="73" spans="1:9" ht="20.25" hidden="1">
      <c r="A73" s="17"/>
      <c r="B73" s="7" t="s">
        <v>202</v>
      </c>
      <c r="C73" s="27">
        <v>966</v>
      </c>
      <c r="D73" s="1" t="s">
        <v>84</v>
      </c>
      <c r="E73" s="1" t="s">
        <v>172</v>
      </c>
      <c r="F73" s="27">
        <v>242</v>
      </c>
      <c r="G73" s="27"/>
      <c r="H73" s="26">
        <f>H74+H75+H76+H77</f>
        <v>812.1</v>
      </c>
      <c r="I73"/>
    </row>
    <row r="74" spans="1:13" ht="12.75" hidden="1">
      <c r="A74" s="17"/>
      <c r="B74" s="7" t="s">
        <v>211</v>
      </c>
      <c r="C74" s="27">
        <v>966</v>
      </c>
      <c r="D74" s="1" t="s">
        <v>84</v>
      </c>
      <c r="E74" s="1" t="s">
        <v>172</v>
      </c>
      <c r="F74" s="27">
        <v>242</v>
      </c>
      <c r="G74" s="27">
        <v>221</v>
      </c>
      <c r="H74" s="26">
        <f>188.5+174.9-37+5.1</f>
        <v>331.5</v>
      </c>
      <c r="I74"/>
      <c r="L74">
        <v>-37</v>
      </c>
      <c r="M74">
        <v>5.1</v>
      </c>
    </row>
    <row r="75" spans="1:12" ht="12.75" hidden="1">
      <c r="A75" s="17"/>
      <c r="B75" s="7" t="s">
        <v>208</v>
      </c>
      <c r="C75" s="27">
        <v>966</v>
      </c>
      <c r="D75" s="1" t="s">
        <v>84</v>
      </c>
      <c r="E75" s="1" t="s">
        <v>172</v>
      </c>
      <c r="F75" s="27">
        <v>242</v>
      </c>
      <c r="G75" s="27">
        <v>226</v>
      </c>
      <c r="H75" s="26">
        <f>500+22-47.3</f>
        <v>474.7</v>
      </c>
      <c r="I75"/>
      <c r="L75">
        <v>-47.3</v>
      </c>
    </row>
    <row r="76" spans="1:12" ht="12.75" hidden="1">
      <c r="A76" s="17"/>
      <c r="B76" s="5" t="s">
        <v>218</v>
      </c>
      <c r="C76" s="23">
        <v>966</v>
      </c>
      <c r="D76" s="17" t="s">
        <v>84</v>
      </c>
      <c r="E76" s="1" t="s">
        <v>172</v>
      </c>
      <c r="F76" s="23">
        <v>242</v>
      </c>
      <c r="G76" s="108">
        <v>310</v>
      </c>
      <c r="H76" s="26">
        <f>50-46.2</f>
        <v>3.799999999999997</v>
      </c>
      <c r="I76"/>
      <c r="L76">
        <v>-46.2</v>
      </c>
    </row>
    <row r="77" spans="1:12" ht="12.75" hidden="1">
      <c r="A77" s="17"/>
      <c r="B77" s="5" t="s">
        <v>217</v>
      </c>
      <c r="C77" s="23">
        <v>966</v>
      </c>
      <c r="D77" s="17" t="s">
        <v>84</v>
      </c>
      <c r="E77" s="1" t="s">
        <v>172</v>
      </c>
      <c r="F77" s="23">
        <v>242</v>
      </c>
      <c r="G77" s="108">
        <v>340</v>
      </c>
      <c r="H77" s="26">
        <f>100-97.9</f>
        <v>2.0999999999999943</v>
      </c>
      <c r="I77"/>
      <c r="L77">
        <v>-97.9</v>
      </c>
    </row>
    <row r="78" spans="1:9" ht="20.25" hidden="1">
      <c r="A78" s="17"/>
      <c r="B78" s="109" t="s">
        <v>199</v>
      </c>
      <c r="C78" s="27">
        <v>966</v>
      </c>
      <c r="D78" s="1" t="s">
        <v>84</v>
      </c>
      <c r="E78" s="1" t="s">
        <v>172</v>
      </c>
      <c r="F78" s="27">
        <v>244</v>
      </c>
      <c r="G78" s="27"/>
      <c r="H78" s="26">
        <f>SUM(H79:H85)</f>
        <v>3208.3</v>
      </c>
      <c r="I78"/>
    </row>
    <row r="79" spans="1:13" ht="12.75" hidden="1">
      <c r="A79" s="17"/>
      <c r="B79" s="5" t="s">
        <v>211</v>
      </c>
      <c r="C79" s="27">
        <v>966</v>
      </c>
      <c r="D79" s="16" t="s">
        <v>84</v>
      </c>
      <c r="E79" s="1" t="s">
        <v>172</v>
      </c>
      <c r="F79" s="22">
        <v>244</v>
      </c>
      <c r="G79" s="22">
        <v>221</v>
      </c>
      <c r="H79" s="25">
        <f>161+439-100-136.5-32.8</f>
        <v>330.7</v>
      </c>
      <c r="I79"/>
      <c r="L79">
        <v>-136.5</v>
      </c>
      <c r="M79">
        <v>-32.8</v>
      </c>
    </row>
    <row r="80" spans="1:12" ht="12.75" hidden="1">
      <c r="A80" s="17"/>
      <c r="B80" s="5" t="s">
        <v>216</v>
      </c>
      <c r="C80" s="27">
        <v>966</v>
      </c>
      <c r="D80" s="16" t="s">
        <v>84</v>
      </c>
      <c r="E80" s="1" t="s">
        <v>172</v>
      </c>
      <c r="F80" s="22">
        <v>244</v>
      </c>
      <c r="G80" s="23">
        <v>222</v>
      </c>
      <c r="H80" s="26">
        <f>290.6+29.4-220-88</f>
        <v>12</v>
      </c>
      <c r="I80" t="s">
        <v>251</v>
      </c>
      <c r="L80">
        <v>-88</v>
      </c>
    </row>
    <row r="81" spans="1:9" ht="12.75" hidden="1">
      <c r="A81" s="17"/>
      <c r="B81" s="6" t="s">
        <v>212</v>
      </c>
      <c r="C81" s="27">
        <v>966</v>
      </c>
      <c r="D81" s="16" t="s">
        <v>84</v>
      </c>
      <c r="E81" s="1" t="s">
        <v>172</v>
      </c>
      <c r="F81" s="22">
        <v>244</v>
      </c>
      <c r="G81" s="23">
        <v>223</v>
      </c>
      <c r="H81" s="26">
        <f>100-50</f>
        <v>50</v>
      </c>
      <c r="I81"/>
    </row>
    <row r="82" spans="1:11" ht="12.75" hidden="1">
      <c r="A82" s="17"/>
      <c r="B82" s="6" t="s">
        <v>213</v>
      </c>
      <c r="C82" s="27">
        <v>966</v>
      </c>
      <c r="D82" s="16" t="s">
        <v>84</v>
      </c>
      <c r="E82" s="1" t="s">
        <v>172</v>
      </c>
      <c r="F82" s="22">
        <v>244</v>
      </c>
      <c r="G82" s="23">
        <v>225</v>
      </c>
      <c r="H82" s="26">
        <f>98.4+100.1+1000+68.4+100</f>
        <v>1366.9</v>
      </c>
      <c r="I82"/>
      <c r="K82">
        <v>2</v>
      </c>
    </row>
    <row r="83" spans="1:12" ht="12.75" hidden="1">
      <c r="A83" s="17"/>
      <c r="B83" s="5" t="s">
        <v>208</v>
      </c>
      <c r="C83" s="27">
        <v>966</v>
      </c>
      <c r="D83" s="16" t="s">
        <v>84</v>
      </c>
      <c r="E83" s="1" t="s">
        <v>172</v>
      </c>
      <c r="F83" s="22">
        <v>244</v>
      </c>
      <c r="G83" s="23">
        <v>226</v>
      </c>
      <c r="H83" s="26">
        <f>922.4-492.9-39.7</f>
        <v>389.8</v>
      </c>
      <c r="I83"/>
      <c r="L83">
        <v>-39.7</v>
      </c>
    </row>
    <row r="84" spans="1:11" ht="12.75" hidden="1">
      <c r="A84" s="17"/>
      <c r="B84" s="5" t="s">
        <v>218</v>
      </c>
      <c r="C84" s="27">
        <v>966</v>
      </c>
      <c r="D84" s="17" t="s">
        <v>84</v>
      </c>
      <c r="E84" s="1" t="s">
        <v>172</v>
      </c>
      <c r="F84" s="23">
        <v>244</v>
      </c>
      <c r="G84" s="23">
        <v>310</v>
      </c>
      <c r="H84" s="26">
        <f>202.4-172.4+3430.1-25.6-300-190-200-2000-68.4-515</f>
        <v>161.10000000000002</v>
      </c>
      <c r="I84"/>
      <c r="K84">
        <v>2</v>
      </c>
    </row>
    <row r="85" spans="1:12" ht="12.75" hidden="1">
      <c r="A85" s="17"/>
      <c r="B85" s="5" t="s">
        <v>217</v>
      </c>
      <c r="C85" s="27">
        <v>966</v>
      </c>
      <c r="D85" s="17" t="s">
        <v>84</v>
      </c>
      <c r="E85" s="1" t="s">
        <v>172</v>
      </c>
      <c r="F85" s="23">
        <v>244</v>
      </c>
      <c r="G85" s="23">
        <v>340</v>
      </c>
      <c r="H85" s="26">
        <f>224.2+165.8+200+237.8+70</f>
        <v>897.8</v>
      </c>
      <c r="I85"/>
      <c r="L85">
        <v>70</v>
      </c>
    </row>
    <row r="86" spans="1:9" ht="12.75">
      <c r="A86" s="1" t="s">
        <v>223</v>
      </c>
      <c r="B86" s="7" t="s">
        <v>109</v>
      </c>
      <c r="C86" s="27">
        <v>966</v>
      </c>
      <c r="D86" s="1" t="s">
        <v>84</v>
      </c>
      <c r="E86" s="1" t="s">
        <v>172</v>
      </c>
      <c r="F86" s="108">
        <v>800</v>
      </c>
      <c r="G86" s="108"/>
      <c r="H86" s="26">
        <f>H87+H90</f>
        <v>50</v>
      </c>
      <c r="I86"/>
    </row>
    <row r="87" spans="1:9" ht="12.75">
      <c r="A87" s="9"/>
      <c r="B87" s="8" t="s">
        <v>97</v>
      </c>
      <c r="C87" s="27">
        <v>966</v>
      </c>
      <c r="D87" s="1" t="s">
        <v>84</v>
      </c>
      <c r="E87" s="1" t="s">
        <v>172</v>
      </c>
      <c r="F87" s="23">
        <v>830</v>
      </c>
      <c r="G87" s="23"/>
      <c r="H87" s="26">
        <f>H88</f>
        <v>47.7</v>
      </c>
      <c r="I87"/>
    </row>
    <row r="88" spans="1:9" ht="60.75" hidden="1">
      <c r="A88" s="9"/>
      <c r="B88" s="110" t="s">
        <v>205</v>
      </c>
      <c r="C88" s="29">
        <v>966</v>
      </c>
      <c r="D88" s="9" t="s">
        <v>84</v>
      </c>
      <c r="E88" s="1" t="s">
        <v>172</v>
      </c>
      <c r="F88" s="22">
        <v>831</v>
      </c>
      <c r="G88" s="22"/>
      <c r="H88" s="25">
        <f>H89</f>
        <v>47.7</v>
      </c>
      <c r="I88"/>
    </row>
    <row r="89" spans="1:13" ht="12.75" hidden="1">
      <c r="A89" s="9"/>
      <c r="B89" s="114" t="s">
        <v>203</v>
      </c>
      <c r="C89" s="29">
        <v>966</v>
      </c>
      <c r="D89" s="9" t="s">
        <v>84</v>
      </c>
      <c r="E89" s="1" t="s">
        <v>172</v>
      </c>
      <c r="F89" s="22">
        <v>831</v>
      </c>
      <c r="G89" s="22">
        <v>290</v>
      </c>
      <c r="H89" s="25">
        <f>100-52.3</f>
        <v>47.7</v>
      </c>
      <c r="I89"/>
      <c r="M89">
        <v>-52.3</v>
      </c>
    </row>
    <row r="90" spans="1:9" ht="13.5" thickBot="1">
      <c r="A90" s="9"/>
      <c r="B90" s="114" t="s">
        <v>14</v>
      </c>
      <c r="C90" s="27">
        <v>966</v>
      </c>
      <c r="D90" s="1" t="s">
        <v>84</v>
      </c>
      <c r="E90" s="9" t="s">
        <v>172</v>
      </c>
      <c r="F90" s="23">
        <v>850</v>
      </c>
      <c r="G90" s="23"/>
      <c r="H90" s="26">
        <f>H93+H91</f>
        <v>2.3</v>
      </c>
      <c r="I90"/>
    </row>
    <row r="91" spans="1:9" ht="12.75" hidden="1">
      <c r="A91" s="9"/>
      <c r="B91" s="236" t="s">
        <v>252</v>
      </c>
      <c r="C91" s="29">
        <v>966</v>
      </c>
      <c r="D91" s="9" t="s">
        <v>84</v>
      </c>
      <c r="E91" s="1" t="s">
        <v>172</v>
      </c>
      <c r="F91" s="22">
        <v>851</v>
      </c>
      <c r="G91" s="22"/>
      <c r="H91" s="25">
        <f>H92</f>
        <v>0.3</v>
      </c>
      <c r="I91"/>
    </row>
    <row r="92" spans="1:11" ht="12.75" hidden="1">
      <c r="A92" s="9"/>
      <c r="B92" s="147" t="s">
        <v>203</v>
      </c>
      <c r="C92" s="29">
        <v>966</v>
      </c>
      <c r="D92" s="9" t="s">
        <v>84</v>
      </c>
      <c r="E92" s="1" t="s">
        <v>172</v>
      </c>
      <c r="F92" s="22">
        <v>851</v>
      </c>
      <c r="G92" s="22">
        <v>290</v>
      </c>
      <c r="H92" s="25">
        <v>0.3</v>
      </c>
      <c r="I92"/>
      <c r="K92">
        <v>2</v>
      </c>
    </row>
    <row r="93" spans="1:9" ht="12.75" hidden="1">
      <c r="A93" s="9"/>
      <c r="B93" s="110" t="s">
        <v>215</v>
      </c>
      <c r="C93" s="29">
        <v>966</v>
      </c>
      <c r="D93" s="9" t="s">
        <v>84</v>
      </c>
      <c r="E93" s="9" t="s">
        <v>172</v>
      </c>
      <c r="F93" s="22">
        <v>853</v>
      </c>
      <c r="G93" s="22"/>
      <c r="H93" s="25">
        <f>H94</f>
        <v>2</v>
      </c>
      <c r="I93"/>
    </row>
    <row r="94" spans="1:9" ht="13.5" hidden="1" thickBot="1">
      <c r="A94" s="9"/>
      <c r="B94" s="114" t="s">
        <v>203</v>
      </c>
      <c r="C94" s="29">
        <v>966</v>
      </c>
      <c r="D94" s="9" t="s">
        <v>84</v>
      </c>
      <c r="E94" s="105" t="s">
        <v>172</v>
      </c>
      <c r="F94" s="22">
        <v>853</v>
      </c>
      <c r="G94" s="22">
        <v>290</v>
      </c>
      <c r="H94" s="242">
        <f>1+1</f>
        <v>2</v>
      </c>
      <c r="I94"/>
    </row>
    <row r="95" spans="1:9" ht="42" thickBot="1">
      <c r="A95" s="40" t="s">
        <v>225</v>
      </c>
      <c r="B95" s="63" t="s">
        <v>131</v>
      </c>
      <c r="C95" s="42">
        <v>966</v>
      </c>
      <c r="D95" s="43" t="s">
        <v>84</v>
      </c>
      <c r="E95" s="43" t="s">
        <v>228</v>
      </c>
      <c r="F95" s="42"/>
      <c r="G95" s="42"/>
      <c r="H95" s="62">
        <f>H96</f>
        <v>6</v>
      </c>
      <c r="I95"/>
    </row>
    <row r="96" spans="1:9" ht="20.25">
      <c r="A96" s="58" t="s">
        <v>226</v>
      </c>
      <c r="B96" s="118" t="s">
        <v>24</v>
      </c>
      <c r="C96" s="45">
        <v>966</v>
      </c>
      <c r="D96" s="46" t="s">
        <v>84</v>
      </c>
      <c r="E96" s="58" t="s">
        <v>228</v>
      </c>
      <c r="F96" s="45">
        <v>200</v>
      </c>
      <c r="G96" s="45"/>
      <c r="H96" s="51">
        <f>H97</f>
        <v>6</v>
      </c>
      <c r="I96"/>
    </row>
    <row r="97" spans="1:9" ht="21" thickBot="1">
      <c r="A97" s="1"/>
      <c r="B97" s="5" t="s">
        <v>108</v>
      </c>
      <c r="C97" s="108">
        <v>966</v>
      </c>
      <c r="D97" s="107" t="s">
        <v>84</v>
      </c>
      <c r="E97" s="1" t="s">
        <v>228</v>
      </c>
      <c r="F97" s="108">
        <v>240</v>
      </c>
      <c r="G97" s="108"/>
      <c r="H97" s="26">
        <f>H98</f>
        <v>6</v>
      </c>
      <c r="I97"/>
    </row>
    <row r="98" spans="1:9" ht="20.25" hidden="1">
      <c r="A98" s="9"/>
      <c r="B98" s="115" t="s">
        <v>199</v>
      </c>
      <c r="C98" s="116">
        <v>966</v>
      </c>
      <c r="D98" s="117" t="s">
        <v>84</v>
      </c>
      <c r="E98" s="9" t="s">
        <v>228</v>
      </c>
      <c r="F98" s="116">
        <v>244</v>
      </c>
      <c r="G98" s="116"/>
      <c r="H98" s="25">
        <f>H99</f>
        <v>6</v>
      </c>
      <c r="I98"/>
    </row>
    <row r="99" spans="1:9" ht="13.5" hidden="1" thickBot="1">
      <c r="A99" s="52"/>
      <c r="B99" s="6" t="s">
        <v>217</v>
      </c>
      <c r="C99" s="53">
        <v>966</v>
      </c>
      <c r="D99" s="46" t="s">
        <v>84</v>
      </c>
      <c r="E99" s="58" t="s">
        <v>228</v>
      </c>
      <c r="F99" s="45">
        <v>244</v>
      </c>
      <c r="G99" s="45">
        <v>340</v>
      </c>
      <c r="H99" s="51">
        <v>6</v>
      </c>
      <c r="I99"/>
    </row>
    <row r="100" spans="1:9" ht="41.25" thickBot="1">
      <c r="A100" s="40" t="s">
        <v>95</v>
      </c>
      <c r="B100" s="41" t="s">
        <v>124</v>
      </c>
      <c r="C100" s="42"/>
      <c r="D100" s="43" t="s">
        <v>84</v>
      </c>
      <c r="E100" s="43" t="s">
        <v>229</v>
      </c>
      <c r="F100" s="42"/>
      <c r="G100" s="42"/>
      <c r="H100" s="62">
        <f>H101+H110</f>
        <v>4106.2</v>
      </c>
      <c r="I100"/>
    </row>
    <row r="101" spans="1:9" ht="40.5">
      <c r="A101" s="9" t="s">
        <v>96</v>
      </c>
      <c r="B101" s="10" t="s">
        <v>105</v>
      </c>
      <c r="C101" s="29">
        <v>966</v>
      </c>
      <c r="D101" s="9" t="s">
        <v>84</v>
      </c>
      <c r="E101" s="9" t="s">
        <v>229</v>
      </c>
      <c r="F101" s="29">
        <v>100</v>
      </c>
      <c r="G101" s="29"/>
      <c r="H101" s="25">
        <f>H102</f>
        <v>3875</v>
      </c>
      <c r="I101"/>
    </row>
    <row r="102" spans="1:9" ht="20.25">
      <c r="A102" s="17"/>
      <c r="B102" s="20" t="s">
        <v>6</v>
      </c>
      <c r="C102" s="27">
        <v>966</v>
      </c>
      <c r="D102" s="9" t="s">
        <v>84</v>
      </c>
      <c r="E102" s="9" t="s">
        <v>229</v>
      </c>
      <c r="F102" s="27">
        <v>120</v>
      </c>
      <c r="G102" s="27"/>
      <c r="H102" s="26">
        <f>H103+H105+H108</f>
        <v>3875</v>
      </c>
      <c r="I102"/>
    </row>
    <row r="103" spans="1:9" ht="12.75" hidden="1">
      <c r="A103" s="16"/>
      <c r="B103" s="20" t="s">
        <v>210</v>
      </c>
      <c r="C103" s="27">
        <v>966</v>
      </c>
      <c r="D103" s="9" t="s">
        <v>84</v>
      </c>
      <c r="E103" s="9" t="s">
        <v>229</v>
      </c>
      <c r="F103" s="22">
        <v>121</v>
      </c>
      <c r="G103" s="22"/>
      <c r="H103" s="25">
        <f>H104</f>
        <v>2940.6</v>
      </c>
      <c r="I103"/>
    </row>
    <row r="104" spans="1:9" ht="12.75" hidden="1">
      <c r="A104" s="16"/>
      <c r="B104" s="20" t="s">
        <v>206</v>
      </c>
      <c r="C104" s="27">
        <v>966</v>
      </c>
      <c r="D104" s="9" t="s">
        <v>84</v>
      </c>
      <c r="E104" s="9" t="s">
        <v>229</v>
      </c>
      <c r="F104" s="22">
        <v>121</v>
      </c>
      <c r="G104" s="22">
        <v>211</v>
      </c>
      <c r="H104" s="25">
        <v>2940.6</v>
      </c>
      <c r="I104"/>
    </row>
    <row r="105" spans="1:9" ht="20.25" hidden="1">
      <c r="A105" s="16"/>
      <c r="B105" s="20" t="s">
        <v>250</v>
      </c>
      <c r="C105" s="27">
        <v>966</v>
      </c>
      <c r="D105" s="9" t="s">
        <v>84</v>
      </c>
      <c r="E105" s="9" t="s">
        <v>229</v>
      </c>
      <c r="F105" s="22">
        <v>122</v>
      </c>
      <c r="G105" s="22"/>
      <c r="H105" s="25">
        <f>SUM(H106:H107)</f>
        <v>46.300000000000004</v>
      </c>
      <c r="I105" t="s">
        <v>251</v>
      </c>
    </row>
    <row r="106" spans="1:12" ht="12.75" hidden="1">
      <c r="A106" s="16"/>
      <c r="B106" s="20" t="s">
        <v>249</v>
      </c>
      <c r="C106" s="27">
        <v>966</v>
      </c>
      <c r="D106" s="9" t="s">
        <v>84</v>
      </c>
      <c r="E106" s="9" t="s">
        <v>229</v>
      </c>
      <c r="F106" s="22">
        <v>122</v>
      </c>
      <c r="G106" s="22">
        <v>212</v>
      </c>
      <c r="H106" s="25">
        <v>0.2</v>
      </c>
      <c r="I106" t="s">
        <v>251</v>
      </c>
      <c r="L106">
        <v>0.2</v>
      </c>
    </row>
    <row r="107" spans="1:13" ht="12.75" hidden="1">
      <c r="A107" s="16"/>
      <c r="B107" s="20" t="s">
        <v>216</v>
      </c>
      <c r="C107" s="27">
        <v>966</v>
      </c>
      <c r="D107" s="9" t="s">
        <v>84</v>
      </c>
      <c r="E107" s="9" t="s">
        <v>229</v>
      </c>
      <c r="F107" s="22">
        <v>122</v>
      </c>
      <c r="G107" s="22">
        <v>222</v>
      </c>
      <c r="H107" s="25">
        <f>80-20.4-13.5</f>
        <v>46.1</v>
      </c>
      <c r="I107" t="s">
        <v>251</v>
      </c>
      <c r="L107">
        <v>-20.4</v>
      </c>
      <c r="M107">
        <v>-13.5</v>
      </c>
    </row>
    <row r="108" spans="1:9" ht="30" hidden="1">
      <c r="A108" s="16"/>
      <c r="B108" s="20" t="s">
        <v>209</v>
      </c>
      <c r="C108" s="27">
        <v>966</v>
      </c>
      <c r="D108" s="9" t="s">
        <v>84</v>
      </c>
      <c r="E108" s="9" t="s">
        <v>229</v>
      </c>
      <c r="F108" s="22">
        <v>129</v>
      </c>
      <c r="G108" s="22"/>
      <c r="H108" s="25">
        <f>H109</f>
        <v>888.1</v>
      </c>
      <c r="I108"/>
    </row>
    <row r="109" spans="1:9" ht="12.75" hidden="1">
      <c r="A109" s="16"/>
      <c r="B109" s="20" t="s">
        <v>207</v>
      </c>
      <c r="C109" s="27">
        <v>966</v>
      </c>
      <c r="D109" s="9" t="s">
        <v>84</v>
      </c>
      <c r="E109" s="9" t="s">
        <v>229</v>
      </c>
      <c r="F109" s="22">
        <v>129</v>
      </c>
      <c r="G109" s="22">
        <v>213</v>
      </c>
      <c r="H109" s="25">
        <v>888.1</v>
      </c>
      <c r="I109"/>
    </row>
    <row r="110" spans="1:9" ht="20.25">
      <c r="A110" s="9" t="s">
        <v>227</v>
      </c>
      <c r="B110" s="109" t="s">
        <v>24</v>
      </c>
      <c r="C110" s="27">
        <v>966</v>
      </c>
      <c r="D110" s="1" t="s">
        <v>84</v>
      </c>
      <c r="E110" s="9" t="s">
        <v>229</v>
      </c>
      <c r="F110" s="27">
        <v>200</v>
      </c>
      <c r="G110" s="27"/>
      <c r="H110" s="26">
        <f>H111</f>
        <v>231.2</v>
      </c>
      <c r="I110"/>
    </row>
    <row r="111" spans="1:9" ht="21" thickBot="1">
      <c r="A111" s="9"/>
      <c r="B111" s="5" t="s">
        <v>108</v>
      </c>
      <c r="C111" s="27">
        <v>966</v>
      </c>
      <c r="D111" s="1" t="s">
        <v>84</v>
      </c>
      <c r="E111" s="9" t="s">
        <v>229</v>
      </c>
      <c r="F111" s="27">
        <v>240</v>
      </c>
      <c r="G111" s="27"/>
      <c r="H111" s="26">
        <f>H112+H114</f>
        <v>231.2</v>
      </c>
      <c r="I111"/>
    </row>
    <row r="112" spans="1:9" ht="20.25" hidden="1">
      <c r="A112" s="9"/>
      <c r="B112" s="7" t="s">
        <v>202</v>
      </c>
      <c r="C112" s="27">
        <v>966</v>
      </c>
      <c r="D112" s="1" t="s">
        <v>84</v>
      </c>
      <c r="E112" s="9" t="s">
        <v>229</v>
      </c>
      <c r="F112" s="27">
        <v>242</v>
      </c>
      <c r="G112" s="27"/>
      <c r="H112" s="240">
        <f>SUM(H113:H113)</f>
        <v>103.5</v>
      </c>
      <c r="I112"/>
    </row>
    <row r="113" spans="1:13" ht="12.75" hidden="1">
      <c r="A113" s="17"/>
      <c r="B113" s="7" t="s">
        <v>211</v>
      </c>
      <c r="C113" s="27">
        <v>966</v>
      </c>
      <c r="D113" s="1" t="s">
        <v>84</v>
      </c>
      <c r="E113" s="9" t="s">
        <v>229</v>
      </c>
      <c r="F113" s="27">
        <v>242</v>
      </c>
      <c r="G113" s="27">
        <v>221</v>
      </c>
      <c r="H113" s="240">
        <f>87+3+13.5</f>
        <v>103.5</v>
      </c>
      <c r="I113"/>
      <c r="M113">
        <v>13.5</v>
      </c>
    </row>
    <row r="114" spans="1:9" ht="20.25" hidden="1">
      <c r="A114" s="17"/>
      <c r="B114" s="109" t="s">
        <v>199</v>
      </c>
      <c r="C114" s="27">
        <v>966</v>
      </c>
      <c r="D114" s="1" t="s">
        <v>84</v>
      </c>
      <c r="E114" s="9" t="s">
        <v>229</v>
      </c>
      <c r="F114" s="27">
        <v>244</v>
      </c>
      <c r="G114" s="27"/>
      <c r="H114" s="240">
        <f>SUM(H115:H118)</f>
        <v>127.7</v>
      </c>
      <c r="I114"/>
    </row>
    <row r="115" spans="1:12" ht="12" customHeight="1" hidden="1">
      <c r="A115" s="17"/>
      <c r="B115" s="5" t="s">
        <v>211</v>
      </c>
      <c r="C115" s="27">
        <v>966</v>
      </c>
      <c r="D115" s="1" t="s">
        <v>84</v>
      </c>
      <c r="E115" s="9" t="s">
        <v>229</v>
      </c>
      <c r="F115" s="22">
        <v>244</v>
      </c>
      <c r="G115" s="22">
        <v>221</v>
      </c>
      <c r="H115" s="242">
        <v>0</v>
      </c>
      <c r="I115"/>
      <c r="L115">
        <v>-96.9</v>
      </c>
    </row>
    <row r="116" spans="1:9" ht="10.5" customHeight="1" hidden="1">
      <c r="A116" s="17"/>
      <c r="B116" s="6" t="s">
        <v>216</v>
      </c>
      <c r="C116" s="27">
        <v>966</v>
      </c>
      <c r="D116" s="1" t="s">
        <v>84</v>
      </c>
      <c r="E116" s="9" t="s">
        <v>229</v>
      </c>
      <c r="F116" s="22">
        <v>244</v>
      </c>
      <c r="G116" s="22">
        <v>222</v>
      </c>
      <c r="H116" s="242">
        <f>80-80</f>
        <v>0</v>
      </c>
      <c r="I116" t="s">
        <v>251</v>
      </c>
    </row>
    <row r="117" spans="1:12" ht="12" customHeight="1" hidden="1">
      <c r="A117" s="17"/>
      <c r="B117" s="7" t="s">
        <v>208</v>
      </c>
      <c r="C117" s="27">
        <v>966</v>
      </c>
      <c r="D117" s="1" t="s">
        <v>84</v>
      </c>
      <c r="E117" s="9" t="s">
        <v>229</v>
      </c>
      <c r="F117" s="22">
        <v>244</v>
      </c>
      <c r="G117" s="22">
        <v>226</v>
      </c>
      <c r="H117" s="242">
        <v>0.7</v>
      </c>
      <c r="I117"/>
      <c r="L117">
        <v>0.7</v>
      </c>
    </row>
    <row r="118" spans="1:12" ht="13.5" customHeight="1" hidden="1" thickBot="1">
      <c r="A118" s="17"/>
      <c r="B118" s="6" t="s">
        <v>217</v>
      </c>
      <c r="C118" s="27">
        <v>966</v>
      </c>
      <c r="D118" s="1" t="s">
        <v>84</v>
      </c>
      <c r="E118" s="9" t="s">
        <v>229</v>
      </c>
      <c r="F118" s="22">
        <v>244</v>
      </c>
      <c r="G118" s="23">
        <v>340</v>
      </c>
      <c r="H118" s="240">
        <f>10.6+20.4+96.9-0.2-0.7</f>
        <v>127</v>
      </c>
      <c r="I118"/>
      <c r="L118">
        <f>20.4+96.9-0.2-0.7</f>
        <v>116.4</v>
      </c>
    </row>
    <row r="119" spans="1:9" ht="13.5" hidden="1" thickBot="1">
      <c r="A119" s="69" t="s">
        <v>25</v>
      </c>
      <c r="B119" s="70" t="s">
        <v>26</v>
      </c>
      <c r="C119" s="71">
        <v>966</v>
      </c>
      <c r="D119" s="72" t="s">
        <v>85</v>
      </c>
      <c r="E119" s="72"/>
      <c r="F119" s="71"/>
      <c r="G119" s="71"/>
      <c r="H119" s="73">
        <f>H120</f>
        <v>2.3092638912203256E-14</v>
      </c>
      <c r="I119"/>
    </row>
    <row r="120" spans="1:9" ht="13.5" hidden="1" thickBot="1">
      <c r="A120" s="40" t="s">
        <v>94</v>
      </c>
      <c r="B120" s="74" t="s">
        <v>27</v>
      </c>
      <c r="C120" s="42">
        <v>966</v>
      </c>
      <c r="D120" s="43" t="s">
        <v>85</v>
      </c>
      <c r="E120" s="43" t="s">
        <v>173</v>
      </c>
      <c r="F120" s="42"/>
      <c r="G120" s="42"/>
      <c r="H120" s="62">
        <f>H121</f>
        <v>2.3092638912203256E-14</v>
      </c>
      <c r="I120"/>
    </row>
    <row r="121" spans="1:9" ht="12.75" hidden="1">
      <c r="A121" s="16" t="s">
        <v>28</v>
      </c>
      <c r="B121" s="34" t="s">
        <v>109</v>
      </c>
      <c r="C121" s="22">
        <v>966</v>
      </c>
      <c r="D121" s="16" t="s">
        <v>85</v>
      </c>
      <c r="E121" s="57" t="s">
        <v>173</v>
      </c>
      <c r="F121" s="22">
        <v>800</v>
      </c>
      <c r="G121" s="22"/>
      <c r="H121" s="25">
        <f>H122</f>
        <v>2.3092638912203256E-14</v>
      </c>
      <c r="I121"/>
    </row>
    <row r="122" spans="1:9" ht="12.75" hidden="1">
      <c r="A122" s="17"/>
      <c r="B122" s="5" t="s">
        <v>29</v>
      </c>
      <c r="C122" s="23">
        <v>966</v>
      </c>
      <c r="D122" s="17" t="s">
        <v>85</v>
      </c>
      <c r="E122" s="1" t="s">
        <v>173</v>
      </c>
      <c r="F122" s="23">
        <v>870</v>
      </c>
      <c r="G122" s="23"/>
      <c r="H122" s="26">
        <f>H123</f>
        <v>2.3092638912203256E-14</v>
      </c>
      <c r="I122"/>
    </row>
    <row r="123" spans="1:13" ht="13.5" hidden="1" thickBot="1">
      <c r="A123" s="111"/>
      <c r="B123" s="114" t="s">
        <v>203</v>
      </c>
      <c r="C123" s="27">
        <v>966</v>
      </c>
      <c r="D123" s="17" t="s">
        <v>85</v>
      </c>
      <c r="E123" s="105" t="s">
        <v>173</v>
      </c>
      <c r="F123" s="23">
        <v>870</v>
      </c>
      <c r="G123" s="45">
        <v>290</v>
      </c>
      <c r="H123" s="112">
        <f>100+190-277.4-12.6</f>
        <v>2.3092638912203256E-14</v>
      </c>
      <c r="I123"/>
      <c r="M123">
        <v>-12.6</v>
      </c>
    </row>
    <row r="124" spans="1:9" ht="13.5" thickBot="1">
      <c r="A124" s="69" t="s">
        <v>30</v>
      </c>
      <c r="B124" s="70" t="s">
        <v>13</v>
      </c>
      <c r="C124" s="71">
        <v>966</v>
      </c>
      <c r="D124" s="72" t="s">
        <v>83</v>
      </c>
      <c r="E124" s="72"/>
      <c r="F124" s="71"/>
      <c r="G124" s="71"/>
      <c r="H124" s="73">
        <f>H125+H130+H136+H141+H148+H155+H162+H168+H173+H178</f>
        <v>2632.5</v>
      </c>
      <c r="I124"/>
    </row>
    <row r="125" spans="1:9" ht="30.75" hidden="1" thickBot="1">
      <c r="A125" s="40" t="s">
        <v>31</v>
      </c>
      <c r="B125" s="41" t="s">
        <v>115</v>
      </c>
      <c r="C125" s="42">
        <v>966</v>
      </c>
      <c r="D125" s="43" t="s">
        <v>83</v>
      </c>
      <c r="E125" s="43" t="s">
        <v>174</v>
      </c>
      <c r="F125" s="42"/>
      <c r="G125" s="42"/>
      <c r="H125" s="62">
        <f>H126</f>
        <v>0</v>
      </c>
      <c r="I125"/>
    </row>
    <row r="126" spans="1:9" ht="20.25" hidden="1">
      <c r="A126" s="16" t="s">
        <v>32</v>
      </c>
      <c r="B126" s="33" t="s">
        <v>24</v>
      </c>
      <c r="C126" s="22">
        <v>966</v>
      </c>
      <c r="D126" s="16" t="s">
        <v>83</v>
      </c>
      <c r="E126" s="57" t="s">
        <v>174</v>
      </c>
      <c r="F126" s="22">
        <v>200</v>
      </c>
      <c r="G126" s="22"/>
      <c r="H126" s="25">
        <f>H127</f>
        <v>0</v>
      </c>
      <c r="I126"/>
    </row>
    <row r="127" spans="1:9" ht="20.25" hidden="1">
      <c r="A127" s="16"/>
      <c r="B127" s="5" t="s">
        <v>108</v>
      </c>
      <c r="C127" s="22">
        <v>966</v>
      </c>
      <c r="D127" s="16" t="s">
        <v>83</v>
      </c>
      <c r="E127" s="1" t="s">
        <v>174</v>
      </c>
      <c r="F127" s="22">
        <v>240</v>
      </c>
      <c r="G127" s="22"/>
      <c r="H127" s="25">
        <f>H128</f>
        <v>0</v>
      </c>
      <c r="I127"/>
    </row>
    <row r="128" spans="1:9" ht="20.25" hidden="1">
      <c r="A128" s="16"/>
      <c r="B128" s="35" t="s">
        <v>199</v>
      </c>
      <c r="C128" s="22">
        <v>966</v>
      </c>
      <c r="D128" s="16" t="s">
        <v>83</v>
      </c>
      <c r="E128" s="1" t="s">
        <v>174</v>
      </c>
      <c r="F128" s="22">
        <v>244</v>
      </c>
      <c r="G128" s="22"/>
      <c r="H128" s="25">
        <f>H129</f>
        <v>0</v>
      </c>
      <c r="I128"/>
    </row>
    <row r="129" spans="1:10" ht="13.5" hidden="1" thickBot="1">
      <c r="A129" s="46"/>
      <c r="B129" s="5" t="s">
        <v>208</v>
      </c>
      <c r="C129" s="45">
        <v>966</v>
      </c>
      <c r="D129" s="46" t="s">
        <v>83</v>
      </c>
      <c r="E129" s="58" t="s">
        <v>174</v>
      </c>
      <c r="F129" s="45">
        <v>244</v>
      </c>
      <c r="G129" s="45">
        <v>226</v>
      </c>
      <c r="H129" s="51">
        <f>100-100</f>
        <v>0</v>
      </c>
      <c r="I129"/>
      <c r="J129">
        <v>1</v>
      </c>
    </row>
    <row r="130" spans="1:9" ht="51" thickBot="1">
      <c r="A130" s="40" t="s">
        <v>31</v>
      </c>
      <c r="B130" s="41" t="s">
        <v>121</v>
      </c>
      <c r="C130" s="42">
        <v>966</v>
      </c>
      <c r="D130" s="43" t="s">
        <v>83</v>
      </c>
      <c r="E130" s="43" t="s">
        <v>175</v>
      </c>
      <c r="F130" s="42"/>
      <c r="G130" s="42"/>
      <c r="H130" s="265">
        <f>H131</f>
        <v>4.7</v>
      </c>
      <c r="I130"/>
    </row>
    <row r="131" spans="1:9" ht="20.25">
      <c r="A131" s="16" t="s">
        <v>32</v>
      </c>
      <c r="B131" s="47" t="s">
        <v>24</v>
      </c>
      <c r="C131" s="29">
        <v>966</v>
      </c>
      <c r="D131" s="9" t="s">
        <v>83</v>
      </c>
      <c r="E131" s="58" t="s">
        <v>175</v>
      </c>
      <c r="F131" s="29">
        <v>200</v>
      </c>
      <c r="G131" s="29"/>
      <c r="H131" s="25">
        <f>H132</f>
        <v>4.7</v>
      </c>
      <c r="I131"/>
    </row>
    <row r="132" spans="1:9" ht="21" thickBot="1">
      <c r="A132" s="16"/>
      <c r="B132" s="5" t="s">
        <v>108</v>
      </c>
      <c r="C132" s="29">
        <v>966</v>
      </c>
      <c r="D132" s="9" t="s">
        <v>83</v>
      </c>
      <c r="E132" s="1" t="s">
        <v>175</v>
      </c>
      <c r="F132" s="29">
        <v>240</v>
      </c>
      <c r="G132" s="29"/>
      <c r="H132" s="25">
        <f>H133</f>
        <v>4.7</v>
      </c>
      <c r="I132"/>
    </row>
    <row r="133" spans="1:9" ht="20.25" hidden="1">
      <c r="A133" s="16"/>
      <c r="B133" s="35" t="s">
        <v>199</v>
      </c>
      <c r="C133" s="29">
        <v>966</v>
      </c>
      <c r="D133" s="9" t="s">
        <v>83</v>
      </c>
      <c r="E133" s="1" t="s">
        <v>175</v>
      </c>
      <c r="F133" s="29">
        <v>244</v>
      </c>
      <c r="G133" s="29"/>
      <c r="H133" s="25">
        <f>H135+H134</f>
        <v>4.7</v>
      </c>
      <c r="I133"/>
    </row>
    <row r="134" spans="1:12" ht="13.5" hidden="1" thickBot="1">
      <c r="A134" s="107"/>
      <c r="B134" s="147" t="s">
        <v>208</v>
      </c>
      <c r="C134" s="29">
        <v>966</v>
      </c>
      <c r="D134" s="9" t="s">
        <v>83</v>
      </c>
      <c r="E134" s="105" t="s">
        <v>175</v>
      </c>
      <c r="F134" s="29">
        <v>244</v>
      </c>
      <c r="G134" s="27">
        <v>226</v>
      </c>
      <c r="H134" s="26">
        <f>100-100</f>
        <v>0</v>
      </c>
      <c r="I134"/>
      <c r="L134">
        <v>-100</v>
      </c>
    </row>
    <row r="135" spans="1:9" ht="13.5" hidden="1" thickBot="1">
      <c r="A135" s="16"/>
      <c r="B135" s="4" t="s">
        <v>217</v>
      </c>
      <c r="C135" s="29">
        <v>966</v>
      </c>
      <c r="D135" s="9" t="s">
        <v>83</v>
      </c>
      <c r="E135" s="105" t="s">
        <v>175</v>
      </c>
      <c r="F135" s="29">
        <v>244</v>
      </c>
      <c r="G135" s="29">
        <v>340</v>
      </c>
      <c r="H135" s="25">
        <f>6-1.3</f>
        <v>4.7</v>
      </c>
      <c r="I135"/>
    </row>
    <row r="136" spans="1:9" ht="30.75" thickBot="1">
      <c r="A136" s="40" t="s">
        <v>33</v>
      </c>
      <c r="B136" s="41" t="s">
        <v>120</v>
      </c>
      <c r="C136" s="42">
        <v>966</v>
      </c>
      <c r="D136" s="43" t="s">
        <v>83</v>
      </c>
      <c r="E136" s="43" t="s">
        <v>176</v>
      </c>
      <c r="F136" s="42"/>
      <c r="G136" s="42"/>
      <c r="H136" s="265">
        <f>H137</f>
        <v>90</v>
      </c>
      <c r="I136"/>
    </row>
    <row r="137" spans="1:9" ht="20.25">
      <c r="A137" s="16" t="s">
        <v>34</v>
      </c>
      <c r="B137" s="33" t="s">
        <v>24</v>
      </c>
      <c r="C137" s="22">
        <v>966</v>
      </c>
      <c r="D137" s="16" t="s">
        <v>83</v>
      </c>
      <c r="E137" s="9" t="s">
        <v>176</v>
      </c>
      <c r="F137" s="22">
        <v>200</v>
      </c>
      <c r="G137" s="22"/>
      <c r="H137" s="25">
        <f>H138</f>
        <v>90</v>
      </c>
      <c r="I137"/>
    </row>
    <row r="138" spans="1:9" ht="21" thickBot="1">
      <c r="A138" s="16"/>
      <c r="B138" s="5" t="s">
        <v>108</v>
      </c>
      <c r="C138" s="22">
        <v>966</v>
      </c>
      <c r="D138" s="16" t="s">
        <v>83</v>
      </c>
      <c r="E138" s="9" t="s">
        <v>176</v>
      </c>
      <c r="F138" s="22">
        <v>240</v>
      </c>
      <c r="G138" s="22"/>
      <c r="H138" s="25">
        <f>H139</f>
        <v>90</v>
      </c>
      <c r="I138"/>
    </row>
    <row r="139" spans="1:9" ht="20.25" hidden="1">
      <c r="A139" s="16"/>
      <c r="B139" s="5" t="s">
        <v>199</v>
      </c>
      <c r="C139" s="29">
        <v>966</v>
      </c>
      <c r="D139" s="9" t="s">
        <v>83</v>
      </c>
      <c r="E139" s="9" t="s">
        <v>176</v>
      </c>
      <c r="F139" s="29">
        <v>244</v>
      </c>
      <c r="G139" s="120"/>
      <c r="H139" s="25">
        <f>H140</f>
        <v>90</v>
      </c>
      <c r="I139"/>
    </row>
    <row r="140" spans="1:12" ht="13.5" hidden="1" thickBot="1">
      <c r="A140" s="16"/>
      <c r="B140" s="5" t="s">
        <v>203</v>
      </c>
      <c r="C140" s="22">
        <v>966</v>
      </c>
      <c r="D140" s="16" t="s">
        <v>83</v>
      </c>
      <c r="E140" s="9" t="s">
        <v>176</v>
      </c>
      <c r="F140" s="22">
        <v>244</v>
      </c>
      <c r="G140" s="22">
        <v>290</v>
      </c>
      <c r="H140" s="25">
        <f>140+378.5-500+71.5</f>
        <v>90</v>
      </c>
      <c r="I140"/>
      <c r="L140">
        <v>71.5</v>
      </c>
    </row>
    <row r="141" spans="1:9" ht="21" thickBot="1">
      <c r="A141" s="40" t="s">
        <v>35</v>
      </c>
      <c r="B141" s="41" t="s">
        <v>114</v>
      </c>
      <c r="C141" s="42">
        <v>966</v>
      </c>
      <c r="D141" s="43" t="s">
        <v>83</v>
      </c>
      <c r="E141" s="43" t="s">
        <v>192</v>
      </c>
      <c r="F141" s="42"/>
      <c r="G141" s="42"/>
      <c r="H141" s="265">
        <f>H142</f>
        <v>651.8</v>
      </c>
      <c r="I141"/>
    </row>
    <row r="142" spans="1:9" ht="20.25">
      <c r="A142" s="16" t="s">
        <v>36</v>
      </c>
      <c r="B142" s="33" t="s">
        <v>24</v>
      </c>
      <c r="C142" s="22">
        <v>966</v>
      </c>
      <c r="D142" s="16" t="s">
        <v>83</v>
      </c>
      <c r="E142" s="9" t="s">
        <v>192</v>
      </c>
      <c r="F142" s="22">
        <v>200</v>
      </c>
      <c r="G142" s="22"/>
      <c r="H142" s="25">
        <f>H143</f>
        <v>651.8</v>
      </c>
      <c r="I142"/>
    </row>
    <row r="143" spans="1:9" ht="21" thickBot="1">
      <c r="A143" s="16"/>
      <c r="B143" s="5" t="s">
        <v>108</v>
      </c>
      <c r="C143" s="22">
        <v>966</v>
      </c>
      <c r="D143" s="16" t="s">
        <v>83</v>
      </c>
      <c r="E143" s="9" t="s">
        <v>192</v>
      </c>
      <c r="F143" s="22">
        <v>240</v>
      </c>
      <c r="G143" s="22"/>
      <c r="H143" s="25">
        <f>H144</f>
        <v>651.8</v>
      </c>
      <c r="I143"/>
    </row>
    <row r="144" spans="1:9" ht="20.25" hidden="1">
      <c r="A144" s="16"/>
      <c r="B144" s="5" t="s">
        <v>199</v>
      </c>
      <c r="C144" s="22">
        <v>966</v>
      </c>
      <c r="D144" s="16" t="s">
        <v>83</v>
      </c>
      <c r="E144" s="9" t="s">
        <v>192</v>
      </c>
      <c r="F144" s="22">
        <v>244</v>
      </c>
      <c r="G144" s="22"/>
      <c r="H144" s="25">
        <f>H145+H147+H146</f>
        <v>651.8</v>
      </c>
      <c r="I144"/>
    </row>
    <row r="145" spans="1:11" ht="12.75" hidden="1">
      <c r="A145" s="16"/>
      <c r="B145" s="5" t="s">
        <v>208</v>
      </c>
      <c r="C145" s="22">
        <v>966</v>
      </c>
      <c r="D145" s="16" t="s">
        <v>83</v>
      </c>
      <c r="E145" s="9" t="s">
        <v>192</v>
      </c>
      <c r="F145" s="22">
        <v>244</v>
      </c>
      <c r="G145" s="22">
        <v>226</v>
      </c>
      <c r="H145" s="25">
        <f>270-270</f>
        <v>0</v>
      </c>
      <c r="I145"/>
      <c r="K145">
        <v>33</v>
      </c>
    </row>
    <row r="146" spans="1:11" ht="12.75" hidden="1">
      <c r="A146" s="16"/>
      <c r="B146" s="5" t="s">
        <v>218</v>
      </c>
      <c r="C146" s="22">
        <v>966</v>
      </c>
      <c r="D146" s="16" t="s">
        <v>83</v>
      </c>
      <c r="E146" s="9" t="s">
        <v>192</v>
      </c>
      <c r="F146" s="22">
        <v>244</v>
      </c>
      <c r="G146" s="22">
        <v>310</v>
      </c>
      <c r="H146" s="25">
        <f>647-348</f>
        <v>299</v>
      </c>
      <c r="I146"/>
      <c r="K146">
        <v>33</v>
      </c>
    </row>
    <row r="147" spans="1:11" ht="13.5" hidden="1" thickBot="1">
      <c r="A147" s="111"/>
      <c r="B147" s="104" t="s">
        <v>217</v>
      </c>
      <c r="C147" s="22">
        <v>966</v>
      </c>
      <c r="D147" s="16" t="s">
        <v>83</v>
      </c>
      <c r="E147" s="9" t="s">
        <v>192</v>
      </c>
      <c r="F147" s="45">
        <v>244</v>
      </c>
      <c r="G147" s="45">
        <v>340</v>
      </c>
      <c r="H147" s="112">
        <f>353-0.2</f>
        <v>352.8</v>
      </c>
      <c r="I147"/>
      <c r="J147">
        <v>1</v>
      </c>
      <c r="K147">
        <v>33</v>
      </c>
    </row>
    <row r="148" spans="1:9" ht="51" thickBot="1">
      <c r="A148" s="40" t="s">
        <v>37</v>
      </c>
      <c r="B148" s="41" t="s">
        <v>119</v>
      </c>
      <c r="C148" s="42">
        <v>966</v>
      </c>
      <c r="D148" s="43" t="s">
        <v>83</v>
      </c>
      <c r="E148" s="43" t="s">
        <v>177</v>
      </c>
      <c r="F148" s="42"/>
      <c r="G148" s="42"/>
      <c r="H148" s="265">
        <f>H149</f>
        <v>94.3</v>
      </c>
      <c r="I148"/>
    </row>
    <row r="149" spans="1:9" ht="20.25">
      <c r="A149" s="16" t="s">
        <v>38</v>
      </c>
      <c r="B149" s="33" t="s">
        <v>24</v>
      </c>
      <c r="C149" s="22">
        <v>966</v>
      </c>
      <c r="D149" s="16" t="s">
        <v>83</v>
      </c>
      <c r="E149" s="9" t="s">
        <v>177</v>
      </c>
      <c r="F149" s="22">
        <v>200</v>
      </c>
      <c r="G149" s="22"/>
      <c r="H149" s="25">
        <f>H150</f>
        <v>94.3</v>
      </c>
      <c r="I149"/>
    </row>
    <row r="150" spans="1:9" ht="21" thickBot="1">
      <c r="A150" s="16"/>
      <c r="B150" s="5" t="s">
        <v>108</v>
      </c>
      <c r="C150" s="22">
        <v>966</v>
      </c>
      <c r="D150" s="16" t="s">
        <v>83</v>
      </c>
      <c r="E150" s="9" t="s">
        <v>177</v>
      </c>
      <c r="F150" s="22">
        <v>240</v>
      </c>
      <c r="G150" s="22"/>
      <c r="H150" s="26">
        <f>H151</f>
        <v>94.3</v>
      </c>
      <c r="I150"/>
    </row>
    <row r="151" spans="1:9" ht="20.25" hidden="1">
      <c r="A151" s="16"/>
      <c r="B151" s="35" t="s">
        <v>199</v>
      </c>
      <c r="C151" s="22">
        <v>966</v>
      </c>
      <c r="D151" s="16" t="s">
        <v>83</v>
      </c>
      <c r="E151" s="9" t="s">
        <v>177</v>
      </c>
      <c r="F151" s="22">
        <v>244</v>
      </c>
      <c r="G151" s="22"/>
      <c r="H151" s="26">
        <f>H154+H153</f>
        <v>94.3</v>
      </c>
      <c r="I151"/>
    </row>
    <row r="152" spans="1:12" ht="12.75" hidden="1">
      <c r="A152" s="117"/>
      <c r="B152" s="147" t="s">
        <v>208</v>
      </c>
      <c r="C152" s="116">
        <v>966</v>
      </c>
      <c r="D152" s="117" t="s">
        <v>83</v>
      </c>
      <c r="E152" s="9" t="s">
        <v>177</v>
      </c>
      <c r="F152" s="116">
        <v>244</v>
      </c>
      <c r="G152" s="116">
        <v>226</v>
      </c>
      <c r="H152" s="25">
        <f>100-100</f>
        <v>0</v>
      </c>
      <c r="I152"/>
      <c r="L152">
        <v>-100</v>
      </c>
    </row>
    <row r="153" spans="1:12" ht="12.75" hidden="1">
      <c r="A153" s="117"/>
      <c r="B153" s="147" t="s">
        <v>203</v>
      </c>
      <c r="C153" s="116">
        <v>966</v>
      </c>
      <c r="D153" s="117" t="s">
        <v>83</v>
      </c>
      <c r="E153" s="9" t="s">
        <v>177</v>
      </c>
      <c r="F153" s="116">
        <v>244</v>
      </c>
      <c r="G153" s="116">
        <v>290</v>
      </c>
      <c r="H153" s="25">
        <f>100-10</f>
        <v>90</v>
      </c>
      <c r="I153"/>
      <c r="L153">
        <v>90</v>
      </c>
    </row>
    <row r="154" spans="1:10" ht="13.5" hidden="1" thickBot="1">
      <c r="A154" s="16"/>
      <c r="B154" s="5" t="s">
        <v>217</v>
      </c>
      <c r="C154" s="22">
        <v>966</v>
      </c>
      <c r="D154" s="16" t="s">
        <v>83</v>
      </c>
      <c r="E154" s="9" t="s">
        <v>177</v>
      </c>
      <c r="F154" s="22">
        <v>244</v>
      </c>
      <c r="G154" s="22">
        <v>340</v>
      </c>
      <c r="H154" s="25">
        <f>5.5-1.2</f>
        <v>4.3</v>
      </c>
      <c r="I154"/>
      <c r="J154">
        <v>1</v>
      </c>
    </row>
    <row r="155" spans="1:9" ht="30.75" thickBot="1">
      <c r="A155" s="40" t="s">
        <v>39</v>
      </c>
      <c r="B155" s="41" t="s">
        <v>118</v>
      </c>
      <c r="C155" s="42">
        <v>966</v>
      </c>
      <c r="D155" s="43" t="s">
        <v>83</v>
      </c>
      <c r="E155" s="43" t="s">
        <v>230</v>
      </c>
      <c r="F155" s="42"/>
      <c r="G155" s="42"/>
      <c r="H155" s="265">
        <f>H156</f>
        <v>94.2</v>
      </c>
      <c r="I155"/>
    </row>
    <row r="156" spans="1:9" ht="20.25">
      <c r="A156" s="16" t="s">
        <v>426</v>
      </c>
      <c r="B156" s="33" t="s">
        <v>24</v>
      </c>
      <c r="C156" s="22">
        <v>966</v>
      </c>
      <c r="D156" s="16" t="s">
        <v>83</v>
      </c>
      <c r="E156" s="9" t="s">
        <v>230</v>
      </c>
      <c r="F156" s="22">
        <v>200</v>
      </c>
      <c r="G156" s="22"/>
      <c r="H156" s="25">
        <f>H157</f>
        <v>94.2</v>
      </c>
      <c r="I156"/>
    </row>
    <row r="157" spans="1:9" ht="21" thickBot="1">
      <c r="A157" s="16"/>
      <c r="B157" s="5" t="s">
        <v>108</v>
      </c>
      <c r="C157" s="22">
        <v>966</v>
      </c>
      <c r="D157" s="16" t="s">
        <v>83</v>
      </c>
      <c r="E157" s="9" t="s">
        <v>230</v>
      </c>
      <c r="F157" s="22">
        <v>240</v>
      </c>
      <c r="G157" s="22"/>
      <c r="H157" s="26">
        <f>H158</f>
        <v>94.2</v>
      </c>
      <c r="I157"/>
    </row>
    <row r="158" spans="1:9" ht="20.25" hidden="1">
      <c r="A158" s="16"/>
      <c r="B158" s="35" t="s">
        <v>199</v>
      </c>
      <c r="C158" s="22">
        <v>966</v>
      </c>
      <c r="D158" s="16" t="s">
        <v>83</v>
      </c>
      <c r="E158" s="9" t="s">
        <v>230</v>
      </c>
      <c r="F158" s="22">
        <v>244</v>
      </c>
      <c r="G158" s="22"/>
      <c r="H158" s="26">
        <f>SUM(H160:H161)</f>
        <v>94.2</v>
      </c>
      <c r="I158"/>
    </row>
    <row r="159" spans="1:10" ht="12.75" hidden="1">
      <c r="A159" s="16"/>
      <c r="B159" s="5" t="s">
        <v>208</v>
      </c>
      <c r="C159" s="22">
        <v>966</v>
      </c>
      <c r="D159" s="16" t="s">
        <v>83</v>
      </c>
      <c r="E159" s="9" t="s">
        <v>230</v>
      </c>
      <c r="F159" s="22">
        <v>244</v>
      </c>
      <c r="G159" s="22">
        <v>226</v>
      </c>
      <c r="H159" s="25">
        <f>90-90</f>
        <v>0</v>
      </c>
      <c r="I159"/>
      <c r="J159">
        <v>1</v>
      </c>
    </row>
    <row r="160" spans="1:12" ht="12.75" hidden="1">
      <c r="A160" s="16"/>
      <c r="B160" s="5" t="s">
        <v>203</v>
      </c>
      <c r="C160" s="22">
        <v>966</v>
      </c>
      <c r="D160" s="16" t="s">
        <v>83</v>
      </c>
      <c r="E160" s="9" t="s">
        <v>230</v>
      </c>
      <c r="F160" s="22">
        <v>244</v>
      </c>
      <c r="G160" s="22">
        <v>290</v>
      </c>
      <c r="H160" s="25">
        <v>90</v>
      </c>
      <c r="I160"/>
      <c r="J160">
        <v>1</v>
      </c>
      <c r="L160">
        <v>90</v>
      </c>
    </row>
    <row r="161" spans="1:10" ht="13.5" hidden="1" thickBot="1">
      <c r="A161" s="16"/>
      <c r="B161" s="5" t="s">
        <v>217</v>
      </c>
      <c r="C161" s="22">
        <v>966</v>
      </c>
      <c r="D161" s="16" t="s">
        <v>83</v>
      </c>
      <c r="E161" s="9" t="s">
        <v>230</v>
      </c>
      <c r="F161" s="22">
        <v>244</v>
      </c>
      <c r="G161" s="22">
        <v>340</v>
      </c>
      <c r="H161" s="25">
        <f>5.5-1.3</f>
        <v>4.2</v>
      </c>
      <c r="I161"/>
      <c r="J161">
        <v>1</v>
      </c>
    </row>
    <row r="162" spans="1:9" ht="61.5" thickBot="1">
      <c r="A162" s="40" t="s">
        <v>40</v>
      </c>
      <c r="B162" s="41" t="s">
        <v>117</v>
      </c>
      <c r="C162" s="42">
        <v>966</v>
      </c>
      <c r="D162" s="43" t="s">
        <v>83</v>
      </c>
      <c r="E162" s="43" t="s">
        <v>178</v>
      </c>
      <c r="F162" s="42"/>
      <c r="G162" s="42"/>
      <c r="H162" s="265">
        <f>H163</f>
        <v>94.2</v>
      </c>
      <c r="I162"/>
    </row>
    <row r="163" spans="1:9" ht="20.25">
      <c r="A163" s="16" t="s">
        <v>98</v>
      </c>
      <c r="B163" s="115" t="s">
        <v>24</v>
      </c>
      <c r="C163" s="22">
        <v>966</v>
      </c>
      <c r="D163" s="16" t="s">
        <v>83</v>
      </c>
      <c r="E163" s="9" t="s">
        <v>178</v>
      </c>
      <c r="F163" s="22">
        <v>200</v>
      </c>
      <c r="G163" s="22"/>
      <c r="H163" s="25">
        <f>H164</f>
        <v>94.2</v>
      </c>
      <c r="I163"/>
    </row>
    <row r="164" spans="1:9" ht="21" thickBot="1">
      <c r="A164" s="17"/>
      <c r="B164" s="5" t="s">
        <v>108</v>
      </c>
      <c r="C164" s="23">
        <v>966</v>
      </c>
      <c r="D164" s="17" t="s">
        <v>83</v>
      </c>
      <c r="E164" s="1" t="s">
        <v>178</v>
      </c>
      <c r="F164" s="23">
        <v>240</v>
      </c>
      <c r="G164" s="23"/>
      <c r="H164" s="26">
        <f>H165</f>
        <v>94.2</v>
      </c>
      <c r="I164"/>
    </row>
    <row r="165" spans="1:9" ht="20.25" hidden="1">
      <c r="A165" s="17"/>
      <c r="B165" s="35" t="s">
        <v>199</v>
      </c>
      <c r="C165" s="23">
        <v>966</v>
      </c>
      <c r="D165" s="17" t="s">
        <v>83</v>
      </c>
      <c r="E165" s="1" t="s">
        <v>178</v>
      </c>
      <c r="F165" s="23">
        <v>244</v>
      </c>
      <c r="G165" s="23"/>
      <c r="H165" s="26">
        <f>H167+H166</f>
        <v>94.2</v>
      </c>
      <c r="I165"/>
    </row>
    <row r="166" spans="1:12" ht="12.75" hidden="1">
      <c r="A166" s="117"/>
      <c r="B166" s="147" t="s">
        <v>203</v>
      </c>
      <c r="C166" s="108">
        <v>966</v>
      </c>
      <c r="D166" s="107" t="s">
        <v>83</v>
      </c>
      <c r="E166" s="1" t="s">
        <v>178</v>
      </c>
      <c r="F166" s="108">
        <v>244</v>
      </c>
      <c r="G166" s="116">
        <v>290</v>
      </c>
      <c r="H166" s="25">
        <f>100-10</f>
        <v>90</v>
      </c>
      <c r="I166"/>
      <c r="L166">
        <v>-10</v>
      </c>
    </row>
    <row r="167" spans="1:12" ht="13.5" hidden="1" thickBot="1">
      <c r="A167" s="16"/>
      <c r="B167" s="5" t="s">
        <v>217</v>
      </c>
      <c r="C167" s="22">
        <v>966</v>
      </c>
      <c r="D167" s="16" t="s">
        <v>83</v>
      </c>
      <c r="E167" s="9" t="s">
        <v>178</v>
      </c>
      <c r="F167" s="22">
        <v>244</v>
      </c>
      <c r="G167" s="22">
        <v>340</v>
      </c>
      <c r="H167" s="25">
        <f>5.5-1.2-0.1</f>
        <v>4.2</v>
      </c>
      <c r="I167"/>
      <c r="J167">
        <v>1</v>
      </c>
      <c r="L167">
        <v>-0.1</v>
      </c>
    </row>
    <row r="168" spans="1:9" ht="21" thickBot="1">
      <c r="A168" s="40" t="s">
        <v>41</v>
      </c>
      <c r="B168" s="41" t="s">
        <v>116</v>
      </c>
      <c r="C168" s="42">
        <v>966</v>
      </c>
      <c r="D168" s="43" t="s">
        <v>83</v>
      </c>
      <c r="E168" s="43" t="s">
        <v>179</v>
      </c>
      <c r="F168" s="42"/>
      <c r="G168" s="42"/>
      <c r="H168" s="265">
        <f>H169</f>
        <v>198</v>
      </c>
      <c r="I168"/>
    </row>
    <row r="169" spans="1:9" ht="20.25">
      <c r="A169" s="16" t="s">
        <v>42</v>
      </c>
      <c r="B169" s="33" t="s">
        <v>24</v>
      </c>
      <c r="C169" s="22">
        <v>966</v>
      </c>
      <c r="D169" s="16" t="s">
        <v>83</v>
      </c>
      <c r="E169" s="9" t="s">
        <v>179</v>
      </c>
      <c r="F169" s="22">
        <v>200</v>
      </c>
      <c r="G169" s="22"/>
      <c r="H169" s="25">
        <f>H170</f>
        <v>198</v>
      </c>
      <c r="I169"/>
    </row>
    <row r="170" spans="1:9" ht="21" thickBot="1">
      <c r="A170" s="16"/>
      <c r="B170" s="5" t="s">
        <v>108</v>
      </c>
      <c r="C170" s="22">
        <v>966</v>
      </c>
      <c r="D170" s="16" t="s">
        <v>83</v>
      </c>
      <c r="E170" s="9" t="s">
        <v>179</v>
      </c>
      <c r="F170" s="22">
        <v>240</v>
      </c>
      <c r="G170" s="22"/>
      <c r="H170" s="25">
        <f>H171</f>
        <v>198</v>
      </c>
      <c r="I170"/>
    </row>
    <row r="171" spans="1:9" ht="20.25" hidden="1">
      <c r="A171" s="16"/>
      <c r="B171" s="35" t="s">
        <v>199</v>
      </c>
      <c r="C171" s="22">
        <v>966</v>
      </c>
      <c r="D171" s="16" t="s">
        <v>83</v>
      </c>
      <c r="E171" s="9" t="s">
        <v>179</v>
      </c>
      <c r="F171" s="22">
        <v>244</v>
      </c>
      <c r="G171" s="22"/>
      <c r="H171" s="25">
        <f>H172</f>
        <v>198</v>
      </c>
      <c r="I171"/>
    </row>
    <row r="172" spans="1:13" ht="13.5" hidden="1" thickBot="1">
      <c r="A172" s="16"/>
      <c r="B172" s="5" t="s">
        <v>208</v>
      </c>
      <c r="C172" s="22">
        <v>966</v>
      </c>
      <c r="D172" s="16" t="s">
        <v>83</v>
      </c>
      <c r="E172" s="9" t="s">
        <v>179</v>
      </c>
      <c r="F172" s="22">
        <v>244</v>
      </c>
      <c r="G172" s="22">
        <v>226</v>
      </c>
      <c r="H172" s="25">
        <f>220-22+10-10</f>
        <v>198</v>
      </c>
      <c r="I172"/>
      <c r="L172">
        <v>10</v>
      </c>
      <c r="M172">
        <v>-10</v>
      </c>
    </row>
    <row r="173" spans="1:9" ht="30.75" thickBot="1">
      <c r="A173" s="40" t="s">
        <v>101</v>
      </c>
      <c r="B173" s="41" t="s">
        <v>165</v>
      </c>
      <c r="C173" s="42">
        <v>966</v>
      </c>
      <c r="D173" s="43" t="s">
        <v>83</v>
      </c>
      <c r="E173" s="43" t="s">
        <v>180</v>
      </c>
      <c r="F173" s="42"/>
      <c r="G173" s="42"/>
      <c r="H173" s="62">
        <f>H174</f>
        <v>19.3</v>
      </c>
      <c r="I173"/>
    </row>
    <row r="174" spans="1:9" ht="20.25">
      <c r="A174" s="46" t="s">
        <v>427</v>
      </c>
      <c r="B174" s="44" t="s">
        <v>24</v>
      </c>
      <c r="C174" s="45">
        <v>966</v>
      </c>
      <c r="D174" s="46" t="s">
        <v>83</v>
      </c>
      <c r="E174" s="58" t="s">
        <v>180</v>
      </c>
      <c r="F174" s="45">
        <v>200</v>
      </c>
      <c r="G174" s="45"/>
      <c r="H174" s="51">
        <f>H175</f>
        <v>19.3</v>
      </c>
      <c r="I174"/>
    </row>
    <row r="175" spans="1:9" ht="21" thickBot="1">
      <c r="A175" s="107"/>
      <c r="B175" s="5" t="s">
        <v>108</v>
      </c>
      <c r="C175" s="108">
        <v>966</v>
      </c>
      <c r="D175" s="107" t="s">
        <v>83</v>
      </c>
      <c r="E175" s="1" t="s">
        <v>180</v>
      </c>
      <c r="F175" s="108">
        <v>240</v>
      </c>
      <c r="G175" s="108"/>
      <c r="H175" s="26">
        <f>H176</f>
        <v>19.3</v>
      </c>
      <c r="I175"/>
    </row>
    <row r="176" spans="1:9" ht="20.25" hidden="1">
      <c r="A176" s="107"/>
      <c r="B176" s="35" t="s">
        <v>199</v>
      </c>
      <c r="C176" s="108">
        <v>966</v>
      </c>
      <c r="D176" s="107" t="s">
        <v>83</v>
      </c>
      <c r="E176" s="1" t="s">
        <v>180</v>
      </c>
      <c r="F176" s="108">
        <v>244</v>
      </c>
      <c r="G176" s="108"/>
      <c r="H176" s="26">
        <f>H177</f>
        <v>19.3</v>
      </c>
      <c r="I176"/>
    </row>
    <row r="177" spans="1:10" ht="13.5" hidden="1" thickBot="1">
      <c r="A177" s="46"/>
      <c r="B177" s="6" t="s">
        <v>217</v>
      </c>
      <c r="C177" s="45">
        <v>966</v>
      </c>
      <c r="D177" s="46" t="s">
        <v>83</v>
      </c>
      <c r="E177" s="58" t="s">
        <v>180</v>
      </c>
      <c r="F177" s="45">
        <v>244</v>
      </c>
      <c r="G177" s="45">
        <v>340</v>
      </c>
      <c r="H177" s="51">
        <f>25-5.7</f>
        <v>19.3</v>
      </c>
      <c r="I177"/>
      <c r="J177">
        <v>1</v>
      </c>
    </row>
    <row r="178" spans="1:9" ht="21" thickBot="1">
      <c r="A178" s="40" t="s">
        <v>132</v>
      </c>
      <c r="B178" s="41" t="s">
        <v>260</v>
      </c>
      <c r="C178" s="42">
        <v>966</v>
      </c>
      <c r="D178" s="43" t="s">
        <v>83</v>
      </c>
      <c r="E178" s="43" t="s">
        <v>255</v>
      </c>
      <c r="F178" s="42"/>
      <c r="G178" s="243"/>
      <c r="H178" s="62">
        <f>H179</f>
        <v>1386</v>
      </c>
      <c r="I178"/>
    </row>
    <row r="179" spans="1:9" ht="40.5">
      <c r="A179" s="117" t="s">
        <v>428</v>
      </c>
      <c r="B179" s="136" t="s">
        <v>105</v>
      </c>
      <c r="C179" s="116">
        <v>966</v>
      </c>
      <c r="D179" s="117" t="s">
        <v>83</v>
      </c>
      <c r="E179" s="9" t="s">
        <v>255</v>
      </c>
      <c r="F179" s="116">
        <v>100</v>
      </c>
      <c r="G179" s="119"/>
      <c r="H179" s="25">
        <f>H180</f>
        <v>1386</v>
      </c>
      <c r="I179"/>
    </row>
    <row r="180" spans="1:9" ht="21" thickBot="1">
      <c r="A180" s="107"/>
      <c r="B180" s="147" t="s">
        <v>257</v>
      </c>
      <c r="C180" s="108">
        <v>966</v>
      </c>
      <c r="D180" s="107" t="s">
        <v>83</v>
      </c>
      <c r="E180" s="1" t="s">
        <v>255</v>
      </c>
      <c r="F180" s="108">
        <v>110</v>
      </c>
      <c r="G180" s="162"/>
      <c r="H180" s="26">
        <f>H181+H183</f>
        <v>1386</v>
      </c>
      <c r="I180"/>
    </row>
    <row r="181" spans="1:9" ht="20.25" hidden="1">
      <c r="A181" s="107"/>
      <c r="B181" s="147" t="s">
        <v>254</v>
      </c>
      <c r="C181" s="108">
        <v>966</v>
      </c>
      <c r="D181" s="107" t="s">
        <v>83</v>
      </c>
      <c r="E181" s="1" t="s">
        <v>255</v>
      </c>
      <c r="F181" s="108">
        <v>111</v>
      </c>
      <c r="G181" s="23"/>
      <c r="H181" s="26">
        <f>H182</f>
        <v>1062.2</v>
      </c>
      <c r="I181"/>
    </row>
    <row r="182" spans="1:12" ht="12.75" hidden="1">
      <c r="A182" s="107"/>
      <c r="B182" s="147" t="s">
        <v>206</v>
      </c>
      <c r="C182" s="108">
        <v>966</v>
      </c>
      <c r="D182" s="107" t="s">
        <v>83</v>
      </c>
      <c r="E182" s="1" t="s">
        <v>255</v>
      </c>
      <c r="F182" s="108">
        <v>111</v>
      </c>
      <c r="G182" s="23">
        <v>211</v>
      </c>
      <c r="H182" s="26">
        <f>1143.3-81.1</f>
        <v>1062.2</v>
      </c>
      <c r="I182"/>
      <c r="L182">
        <v>-81.1</v>
      </c>
    </row>
    <row r="183" spans="1:9" ht="40.5" hidden="1">
      <c r="A183" s="107"/>
      <c r="B183" s="147" t="s">
        <v>258</v>
      </c>
      <c r="C183" s="108">
        <v>966</v>
      </c>
      <c r="D183" s="107" t="s">
        <v>83</v>
      </c>
      <c r="E183" s="1" t="s">
        <v>255</v>
      </c>
      <c r="F183" s="108">
        <v>119</v>
      </c>
      <c r="G183" s="23"/>
      <c r="H183" s="26">
        <f>H184</f>
        <v>323.8</v>
      </c>
      <c r="I183"/>
    </row>
    <row r="184" spans="1:13" ht="13.5" hidden="1" thickBot="1">
      <c r="A184" s="48"/>
      <c r="B184" s="236" t="s">
        <v>207</v>
      </c>
      <c r="C184" s="49">
        <v>966</v>
      </c>
      <c r="D184" s="48" t="s">
        <v>83</v>
      </c>
      <c r="E184" s="59" t="s">
        <v>255</v>
      </c>
      <c r="F184" s="49">
        <v>119</v>
      </c>
      <c r="G184" s="24">
        <v>213</v>
      </c>
      <c r="H184" s="28">
        <f>343-49+29.8</f>
        <v>323.8</v>
      </c>
      <c r="I184"/>
      <c r="L184">
        <v>-49</v>
      </c>
      <c r="M184">
        <v>29.8</v>
      </c>
    </row>
    <row r="185" spans="1:9" ht="21" thickBot="1">
      <c r="A185" s="75" t="s">
        <v>43</v>
      </c>
      <c r="B185" s="76" t="s">
        <v>44</v>
      </c>
      <c r="C185" s="77">
        <v>966</v>
      </c>
      <c r="D185" s="78" t="s">
        <v>86</v>
      </c>
      <c r="E185" s="78"/>
      <c r="F185" s="77"/>
      <c r="G185" s="77"/>
      <c r="H185" s="79">
        <f>H186</f>
        <v>953.2</v>
      </c>
      <c r="I185"/>
    </row>
    <row r="186" spans="1:9" ht="21" thickBot="1">
      <c r="A186" s="69" t="s">
        <v>45</v>
      </c>
      <c r="B186" s="70" t="s">
        <v>46</v>
      </c>
      <c r="C186" s="71">
        <v>966</v>
      </c>
      <c r="D186" s="72" t="s">
        <v>87</v>
      </c>
      <c r="E186" s="72"/>
      <c r="F186" s="71"/>
      <c r="G186" s="71"/>
      <c r="H186" s="73">
        <f>H187+H193</f>
        <v>953.2</v>
      </c>
      <c r="I186"/>
    </row>
    <row r="187" spans="1:9" ht="61.5" thickBot="1">
      <c r="A187" s="40" t="s">
        <v>161</v>
      </c>
      <c r="B187" s="41" t="s">
        <v>162</v>
      </c>
      <c r="C187" s="42">
        <v>966</v>
      </c>
      <c r="D187" s="43" t="s">
        <v>87</v>
      </c>
      <c r="E187" s="43" t="s">
        <v>181</v>
      </c>
      <c r="F187" s="42"/>
      <c r="G187" s="42"/>
      <c r="H187" s="62">
        <f>H188</f>
        <v>10</v>
      </c>
      <c r="I187"/>
    </row>
    <row r="188" spans="1:9" ht="20.25">
      <c r="A188" s="16" t="s">
        <v>163</v>
      </c>
      <c r="B188" s="33" t="s">
        <v>24</v>
      </c>
      <c r="C188" s="22">
        <v>966</v>
      </c>
      <c r="D188" s="16" t="s">
        <v>87</v>
      </c>
      <c r="E188" s="9" t="s">
        <v>181</v>
      </c>
      <c r="F188" s="22">
        <v>200</v>
      </c>
      <c r="G188" s="22"/>
      <c r="H188" s="25">
        <f>H190</f>
        <v>10</v>
      </c>
      <c r="I188"/>
    </row>
    <row r="189" spans="1:9" ht="21" thickBot="1">
      <c r="A189" s="16"/>
      <c r="B189" s="5" t="s">
        <v>108</v>
      </c>
      <c r="C189" s="22">
        <v>966</v>
      </c>
      <c r="D189" s="16" t="s">
        <v>87</v>
      </c>
      <c r="E189" s="9" t="s">
        <v>181</v>
      </c>
      <c r="F189" s="22">
        <v>240</v>
      </c>
      <c r="G189" s="22"/>
      <c r="H189" s="25">
        <f>H190</f>
        <v>10</v>
      </c>
      <c r="I189"/>
    </row>
    <row r="190" spans="1:9" ht="20.25" hidden="1">
      <c r="A190" s="16"/>
      <c r="B190" s="35" t="s">
        <v>199</v>
      </c>
      <c r="C190" s="22">
        <v>966</v>
      </c>
      <c r="D190" s="16" t="s">
        <v>87</v>
      </c>
      <c r="E190" s="9" t="s">
        <v>181</v>
      </c>
      <c r="F190" s="22">
        <v>244</v>
      </c>
      <c r="G190" s="22"/>
      <c r="H190" s="25">
        <f>H191+H192</f>
        <v>10</v>
      </c>
      <c r="I190"/>
    </row>
    <row r="191" spans="1:13" ht="12.75" hidden="1">
      <c r="A191" s="16"/>
      <c r="B191" s="5" t="s">
        <v>208</v>
      </c>
      <c r="C191" s="22">
        <v>966</v>
      </c>
      <c r="D191" s="16" t="s">
        <v>87</v>
      </c>
      <c r="E191" s="9" t="s">
        <v>181</v>
      </c>
      <c r="F191" s="22">
        <v>244</v>
      </c>
      <c r="G191" s="22">
        <v>226</v>
      </c>
      <c r="H191" s="25">
        <f>80-40-40</f>
        <v>0</v>
      </c>
      <c r="I191"/>
      <c r="K191">
        <v>2</v>
      </c>
      <c r="M191">
        <v>-40</v>
      </c>
    </row>
    <row r="192" spans="1:13" ht="13.5" hidden="1" thickBot="1">
      <c r="A192" s="111"/>
      <c r="B192" s="104" t="s">
        <v>218</v>
      </c>
      <c r="C192" s="22">
        <v>966</v>
      </c>
      <c r="D192" s="16" t="s">
        <v>87</v>
      </c>
      <c r="E192" s="9" t="s">
        <v>181</v>
      </c>
      <c r="F192" s="22">
        <v>244</v>
      </c>
      <c r="G192" s="22">
        <v>310</v>
      </c>
      <c r="H192" s="238">
        <f>40-30</f>
        <v>10</v>
      </c>
      <c r="I192"/>
      <c r="K192">
        <v>2</v>
      </c>
      <c r="M192">
        <v>-30</v>
      </c>
    </row>
    <row r="193" spans="1:9" ht="51" thickBot="1">
      <c r="A193" s="40" t="s">
        <v>47</v>
      </c>
      <c r="B193" s="41" t="s">
        <v>112</v>
      </c>
      <c r="C193" s="42">
        <v>966</v>
      </c>
      <c r="D193" s="43" t="s">
        <v>87</v>
      </c>
      <c r="E193" s="43" t="s">
        <v>182</v>
      </c>
      <c r="F193" s="42"/>
      <c r="G193" s="42"/>
      <c r="H193" s="265">
        <f>H194</f>
        <v>943.2</v>
      </c>
      <c r="I193"/>
    </row>
    <row r="194" spans="1:9" ht="20.25">
      <c r="A194" s="16" t="s">
        <v>48</v>
      </c>
      <c r="B194" s="33" t="s">
        <v>24</v>
      </c>
      <c r="C194" s="22">
        <v>966</v>
      </c>
      <c r="D194" s="16" t="s">
        <v>87</v>
      </c>
      <c r="E194" s="9" t="s">
        <v>182</v>
      </c>
      <c r="F194" s="22">
        <v>200</v>
      </c>
      <c r="G194" s="22"/>
      <c r="H194" s="25">
        <f>H195</f>
        <v>943.2</v>
      </c>
      <c r="I194"/>
    </row>
    <row r="195" spans="1:9" ht="21" thickBot="1">
      <c r="A195" s="16"/>
      <c r="B195" s="5" t="s">
        <v>108</v>
      </c>
      <c r="C195" s="22">
        <v>966</v>
      </c>
      <c r="D195" s="16" t="s">
        <v>87</v>
      </c>
      <c r="E195" s="9" t="s">
        <v>182</v>
      </c>
      <c r="F195" s="22">
        <v>240</v>
      </c>
      <c r="G195" s="22"/>
      <c r="H195" s="25">
        <f>H196</f>
        <v>943.2</v>
      </c>
      <c r="I195"/>
    </row>
    <row r="196" spans="1:9" ht="20.25" hidden="1">
      <c r="A196" s="16"/>
      <c r="B196" s="35" t="s">
        <v>199</v>
      </c>
      <c r="C196" s="22">
        <v>966</v>
      </c>
      <c r="D196" s="16" t="s">
        <v>87</v>
      </c>
      <c r="E196" s="9" t="s">
        <v>182</v>
      </c>
      <c r="F196" s="22">
        <v>244</v>
      </c>
      <c r="G196" s="22"/>
      <c r="H196" s="25">
        <f>SUM(H197:H198)</f>
        <v>943.2</v>
      </c>
      <c r="I196"/>
    </row>
    <row r="197" spans="1:13" ht="12.75" hidden="1">
      <c r="A197" s="17"/>
      <c r="B197" s="5" t="s">
        <v>247</v>
      </c>
      <c r="C197" s="23">
        <v>966</v>
      </c>
      <c r="D197" s="17" t="s">
        <v>87</v>
      </c>
      <c r="E197" s="1" t="s">
        <v>182</v>
      </c>
      <c r="F197" s="23">
        <v>244</v>
      </c>
      <c r="G197" s="23">
        <v>224</v>
      </c>
      <c r="H197" s="26">
        <f>900-16.8</f>
        <v>883.2</v>
      </c>
      <c r="I197"/>
      <c r="M197">
        <v>-16.8</v>
      </c>
    </row>
    <row r="198" spans="1:12" ht="13.5" hidden="1" thickBot="1">
      <c r="A198" s="17"/>
      <c r="B198" s="5" t="s">
        <v>208</v>
      </c>
      <c r="C198" s="23">
        <v>966</v>
      </c>
      <c r="D198" s="17" t="s">
        <v>87</v>
      </c>
      <c r="E198" s="1" t="s">
        <v>182</v>
      </c>
      <c r="F198" s="23">
        <v>244</v>
      </c>
      <c r="G198" s="23">
        <v>226</v>
      </c>
      <c r="H198" s="26">
        <f>327.5-267.5</f>
        <v>60</v>
      </c>
      <c r="I198"/>
      <c r="L198">
        <v>-267.5</v>
      </c>
    </row>
    <row r="199" spans="1:9" ht="13.5" thickBot="1">
      <c r="A199" s="75" t="s">
        <v>133</v>
      </c>
      <c r="B199" s="76" t="s">
        <v>49</v>
      </c>
      <c r="C199" s="77">
        <v>966</v>
      </c>
      <c r="D199" s="78" t="s">
        <v>88</v>
      </c>
      <c r="E199" s="78"/>
      <c r="F199" s="77"/>
      <c r="G199" s="77"/>
      <c r="H199" s="79">
        <f>H200</f>
        <v>33051.4</v>
      </c>
      <c r="I199"/>
    </row>
    <row r="200" spans="1:9" ht="13.5" thickBot="1">
      <c r="A200" s="69" t="s">
        <v>135</v>
      </c>
      <c r="B200" s="70" t="s">
        <v>50</v>
      </c>
      <c r="C200" s="71">
        <v>966</v>
      </c>
      <c r="D200" s="72" t="s">
        <v>89</v>
      </c>
      <c r="E200" s="72"/>
      <c r="F200" s="71"/>
      <c r="G200" s="71"/>
      <c r="H200" s="73">
        <f>H201+H207+H214+H221+H228+H234+H239+H244+H264</f>
        <v>33051.4</v>
      </c>
      <c r="I200"/>
    </row>
    <row r="201" spans="1:9" ht="41.25" thickBot="1">
      <c r="A201" s="40" t="s">
        <v>136</v>
      </c>
      <c r="B201" s="41" t="s">
        <v>128</v>
      </c>
      <c r="C201" s="42">
        <v>966</v>
      </c>
      <c r="D201" s="43" t="s">
        <v>89</v>
      </c>
      <c r="E201" s="43" t="s">
        <v>183</v>
      </c>
      <c r="F201" s="42"/>
      <c r="G201" s="42"/>
      <c r="H201" s="265">
        <v>323</v>
      </c>
      <c r="I201"/>
    </row>
    <row r="202" spans="1:9" ht="20.25">
      <c r="A202" s="16" t="s">
        <v>137</v>
      </c>
      <c r="B202" s="244" t="s">
        <v>24</v>
      </c>
      <c r="C202" s="245">
        <v>966</v>
      </c>
      <c r="D202" s="246" t="s">
        <v>89</v>
      </c>
      <c r="E202" s="57" t="s">
        <v>183</v>
      </c>
      <c r="F202" s="245">
        <v>200</v>
      </c>
      <c r="G202" s="245"/>
      <c r="H202" s="247">
        <v>323</v>
      </c>
      <c r="I202"/>
    </row>
    <row r="203" spans="1:9" ht="21.75" customHeight="1" thickBot="1">
      <c r="A203" s="16"/>
      <c r="B203" s="5" t="s">
        <v>108</v>
      </c>
      <c r="C203" s="23">
        <v>966</v>
      </c>
      <c r="D203" s="17" t="s">
        <v>89</v>
      </c>
      <c r="E203" s="1" t="s">
        <v>183</v>
      </c>
      <c r="F203" s="23">
        <v>240</v>
      </c>
      <c r="G203" s="23"/>
      <c r="H203" s="26">
        <v>323</v>
      </c>
      <c r="I203"/>
    </row>
    <row r="204" spans="1:9" ht="20.25" hidden="1">
      <c r="A204" s="16"/>
      <c r="B204" s="115" t="s">
        <v>199</v>
      </c>
      <c r="C204" s="22">
        <v>966</v>
      </c>
      <c r="D204" s="16" t="s">
        <v>89</v>
      </c>
      <c r="E204" s="1" t="s">
        <v>183</v>
      </c>
      <c r="F204" s="23">
        <v>244</v>
      </c>
      <c r="G204" s="248"/>
      <c r="H204" s="240">
        <f>H205+H206</f>
        <v>323</v>
      </c>
      <c r="I204"/>
    </row>
    <row r="205" spans="1:12" ht="12.75" hidden="1">
      <c r="A205" s="16"/>
      <c r="B205" s="5" t="s">
        <v>208</v>
      </c>
      <c r="C205" s="22">
        <v>966</v>
      </c>
      <c r="D205" s="16" t="s">
        <v>89</v>
      </c>
      <c r="E205" s="9" t="s">
        <v>183</v>
      </c>
      <c r="F205" s="22">
        <v>244</v>
      </c>
      <c r="G205" s="249">
        <v>226</v>
      </c>
      <c r="H205" s="242">
        <v>26.5</v>
      </c>
      <c r="I205" t="s">
        <v>251</v>
      </c>
      <c r="L205">
        <v>-367.3</v>
      </c>
    </row>
    <row r="206" spans="1:9" ht="13.5" hidden="1" thickBot="1">
      <c r="A206" s="111"/>
      <c r="B206" s="104" t="s">
        <v>218</v>
      </c>
      <c r="C206" s="22">
        <v>966</v>
      </c>
      <c r="D206" s="16" t="s">
        <v>89</v>
      </c>
      <c r="E206" s="9" t="s">
        <v>183</v>
      </c>
      <c r="F206" s="22">
        <v>244</v>
      </c>
      <c r="G206" s="249">
        <v>310</v>
      </c>
      <c r="H206" s="250">
        <v>296.5</v>
      </c>
      <c r="I206"/>
    </row>
    <row r="207" spans="1:9" ht="30.75" thickBot="1">
      <c r="A207" s="40" t="s">
        <v>138</v>
      </c>
      <c r="B207" s="41" t="s">
        <v>129</v>
      </c>
      <c r="C207" s="42">
        <v>966</v>
      </c>
      <c r="D207" s="43" t="s">
        <v>89</v>
      </c>
      <c r="E207" s="43" t="s">
        <v>184</v>
      </c>
      <c r="F207" s="42"/>
      <c r="G207" s="42"/>
      <c r="H207" s="265">
        <v>1908.9</v>
      </c>
      <c r="I207"/>
    </row>
    <row r="208" spans="1:9" ht="20.25">
      <c r="A208" s="16" t="s">
        <v>139</v>
      </c>
      <c r="B208" s="33" t="s">
        <v>24</v>
      </c>
      <c r="C208" s="22">
        <v>966</v>
      </c>
      <c r="D208" s="16" t="s">
        <v>89</v>
      </c>
      <c r="E208" s="9" t="s">
        <v>184</v>
      </c>
      <c r="F208" s="22">
        <v>200</v>
      </c>
      <c r="G208" s="22"/>
      <c r="H208" s="25">
        <f>H209</f>
        <v>1908.8999999999999</v>
      </c>
      <c r="I208"/>
    </row>
    <row r="209" spans="1:9" ht="21" thickBot="1">
      <c r="A209" s="16"/>
      <c r="B209" s="5" t="s">
        <v>108</v>
      </c>
      <c r="C209" s="22">
        <v>966</v>
      </c>
      <c r="D209" s="16" t="s">
        <v>89</v>
      </c>
      <c r="E209" s="9" t="s">
        <v>184</v>
      </c>
      <c r="F209" s="22">
        <v>240</v>
      </c>
      <c r="G209" s="22"/>
      <c r="H209" s="25">
        <f>H210</f>
        <v>1908.8999999999999</v>
      </c>
      <c r="I209"/>
    </row>
    <row r="210" spans="1:9" ht="20.25" hidden="1">
      <c r="A210" s="16"/>
      <c r="B210" s="35" t="s">
        <v>199</v>
      </c>
      <c r="C210" s="22">
        <v>966</v>
      </c>
      <c r="D210" s="16" t="s">
        <v>89</v>
      </c>
      <c r="E210" s="9" t="s">
        <v>184</v>
      </c>
      <c r="F210" s="22">
        <v>244</v>
      </c>
      <c r="G210" s="22"/>
      <c r="H210" s="25">
        <f>H211+H212+H213</f>
        <v>1908.8999999999999</v>
      </c>
      <c r="I210"/>
    </row>
    <row r="211" spans="1:12" ht="12.75" hidden="1">
      <c r="A211" s="16"/>
      <c r="B211" s="5" t="s">
        <v>208</v>
      </c>
      <c r="C211" s="22">
        <v>966</v>
      </c>
      <c r="D211" s="16" t="s">
        <v>89</v>
      </c>
      <c r="E211" s="9" t="s">
        <v>184</v>
      </c>
      <c r="F211" s="22">
        <v>244</v>
      </c>
      <c r="G211" s="22">
        <v>226</v>
      </c>
      <c r="H211" s="25">
        <v>1810.6</v>
      </c>
      <c r="I211" t="s">
        <v>251</v>
      </c>
      <c r="L211">
        <v>-1698.8</v>
      </c>
    </row>
    <row r="212" spans="1:9" ht="12.75" hidden="1">
      <c r="A212" s="111"/>
      <c r="B212" s="104" t="s">
        <v>203</v>
      </c>
      <c r="C212" s="22">
        <v>966</v>
      </c>
      <c r="D212" s="16" t="s">
        <v>89</v>
      </c>
      <c r="E212" s="9" t="s">
        <v>184</v>
      </c>
      <c r="F212" s="22">
        <v>244</v>
      </c>
      <c r="G212" s="22">
        <v>290</v>
      </c>
      <c r="H212" s="26">
        <v>0</v>
      </c>
      <c r="I212"/>
    </row>
    <row r="213" spans="1:9" ht="13.5" hidden="1" thickBot="1">
      <c r="A213" s="251"/>
      <c r="B213" s="6" t="s">
        <v>217</v>
      </c>
      <c r="C213" s="45">
        <v>966</v>
      </c>
      <c r="D213" s="46" t="s">
        <v>89</v>
      </c>
      <c r="E213" s="58" t="s">
        <v>184</v>
      </c>
      <c r="F213" s="45">
        <v>244</v>
      </c>
      <c r="G213" s="45">
        <v>340</v>
      </c>
      <c r="H213" s="28">
        <v>98.3</v>
      </c>
      <c r="I213"/>
    </row>
    <row r="214" spans="1:9" ht="30.75" thickBot="1">
      <c r="A214" s="40" t="s">
        <v>140</v>
      </c>
      <c r="B214" s="41" t="s">
        <v>130</v>
      </c>
      <c r="C214" s="42">
        <v>966</v>
      </c>
      <c r="D214" s="43" t="s">
        <v>89</v>
      </c>
      <c r="E214" s="43" t="s">
        <v>185</v>
      </c>
      <c r="F214" s="42"/>
      <c r="G214" s="42"/>
      <c r="H214" s="265">
        <f>H215</f>
        <v>8627.7</v>
      </c>
      <c r="I214"/>
    </row>
    <row r="215" spans="1:9" ht="20.25">
      <c r="A215" s="16" t="s">
        <v>141</v>
      </c>
      <c r="B215" s="50" t="s">
        <v>24</v>
      </c>
      <c r="C215" s="22">
        <v>966</v>
      </c>
      <c r="D215" s="16" t="s">
        <v>89</v>
      </c>
      <c r="E215" s="9" t="s">
        <v>185</v>
      </c>
      <c r="F215" s="22">
        <v>200</v>
      </c>
      <c r="G215" s="22"/>
      <c r="H215" s="25">
        <f>H216</f>
        <v>8627.7</v>
      </c>
      <c r="I215"/>
    </row>
    <row r="216" spans="1:9" ht="20.25">
      <c r="A216" s="16"/>
      <c r="B216" s="5" t="s">
        <v>108</v>
      </c>
      <c r="C216" s="22">
        <v>966</v>
      </c>
      <c r="D216" s="16" t="s">
        <v>89</v>
      </c>
      <c r="E216" s="9" t="s">
        <v>185</v>
      </c>
      <c r="F216" s="22">
        <v>240</v>
      </c>
      <c r="G216" s="22"/>
      <c r="H216" s="25">
        <f>H217</f>
        <v>8627.7</v>
      </c>
      <c r="I216"/>
    </row>
    <row r="217" spans="1:9" ht="20.25">
      <c r="A217" s="16"/>
      <c r="B217" s="35" t="s">
        <v>199</v>
      </c>
      <c r="C217" s="22">
        <v>966</v>
      </c>
      <c r="D217" s="16" t="s">
        <v>89</v>
      </c>
      <c r="E217" s="9" t="s">
        <v>185</v>
      </c>
      <c r="F217" s="22">
        <v>244</v>
      </c>
      <c r="G217" s="22"/>
      <c r="H217" s="25">
        <f>H218+H219+H220</f>
        <v>8627.7</v>
      </c>
      <c r="I217"/>
    </row>
    <row r="218" spans="1:12" ht="12.75">
      <c r="A218" s="16"/>
      <c r="B218" s="5" t="s">
        <v>208</v>
      </c>
      <c r="C218" s="22">
        <v>966</v>
      </c>
      <c r="D218" s="16" t="s">
        <v>89</v>
      </c>
      <c r="E218" s="9" t="s">
        <v>185</v>
      </c>
      <c r="F218" s="22">
        <v>244</v>
      </c>
      <c r="G218" s="22">
        <v>226</v>
      </c>
      <c r="H218" s="25">
        <v>6501.1</v>
      </c>
      <c r="I218" t="s">
        <v>251</v>
      </c>
      <c r="L218">
        <f>-3999.5-86.5</f>
        <v>-4086</v>
      </c>
    </row>
    <row r="219" spans="1:12" ht="12.75">
      <c r="A219" s="280"/>
      <c r="B219" s="5" t="s">
        <v>218</v>
      </c>
      <c r="C219" s="45">
        <v>966</v>
      </c>
      <c r="D219" s="107" t="s">
        <v>89</v>
      </c>
      <c r="E219" s="1" t="s">
        <v>185</v>
      </c>
      <c r="F219" s="108">
        <v>244</v>
      </c>
      <c r="G219" s="108">
        <v>310</v>
      </c>
      <c r="H219" s="26">
        <f>1971.4+100</f>
        <v>2071.4</v>
      </c>
      <c r="I219"/>
      <c r="L219">
        <v>86.5</v>
      </c>
    </row>
    <row r="220" spans="1:12" ht="13.5" thickBot="1">
      <c r="A220" s="111"/>
      <c r="B220" s="104"/>
      <c r="C220" s="45">
        <v>966</v>
      </c>
      <c r="D220" s="46" t="s">
        <v>89</v>
      </c>
      <c r="E220" s="9" t="s">
        <v>185</v>
      </c>
      <c r="F220" s="45">
        <v>244</v>
      </c>
      <c r="G220" s="45">
        <v>310</v>
      </c>
      <c r="H220" s="279">
        <v>55.2</v>
      </c>
      <c r="I220"/>
      <c r="L220">
        <v>86.5</v>
      </c>
    </row>
    <row r="221" spans="1:9" ht="21" thickBot="1">
      <c r="A221" s="40" t="s">
        <v>142</v>
      </c>
      <c r="B221" s="41" t="s">
        <v>244</v>
      </c>
      <c r="C221" s="42">
        <v>966</v>
      </c>
      <c r="D221" s="43" t="s">
        <v>89</v>
      </c>
      <c r="E221" s="43" t="s">
        <v>232</v>
      </c>
      <c r="F221" s="42"/>
      <c r="G221" s="42"/>
      <c r="H221" s="265">
        <f>H222</f>
        <v>10000</v>
      </c>
      <c r="I221"/>
    </row>
    <row r="222" spans="1:9" ht="20.25">
      <c r="A222" s="9" t="s">
        <v>143</v>
      </c>
      <c r="B222" s="50" t="s">
        <v>24</v>
      </c>
      <c r="C222" s="29">
        <v>966</v>
      </c>
      <c r="D222" s="9" t="s">
        <v>89</v>
      </c>
      <c r="E222" s="9" t="s">
        <v>232</v>
      </c>
      <c r="F222" s="29">
        <v>200</v>
      </c>
      <c r="G222" s="29"/>
      <c r="H222" s="25">
        <f>H223</f>
        <v>10000</v>
      </c>
      <c r="I222"/>
    </row>
    <row r="223" spans="1:9" ht="21" thickBot="1">
      <c r="A223" s="9"/>
      <c r="B223" s="5" t="s">
        <v>108</v>
      </c>
      <c r="C223" s="29">
        <v>966</v>
      </c>
      <c r="D223" s="9" t="s">
        <v>89</v>
      </c>
      <c r="E223" s="9" t="s">
        <v>232</v>
      </c>
      <c r="F223" s="29">
        <v>240</v>
      </c>
      <c r="G223" s="29"/>
      <c r="H223" s="25">
        <f>H224</f>
        <v>10000</v>
      </c>
      <c r="I223"/>
    </row>
    <row r="224" spans="1:9" ht="20.25" hidden="1">
      <c r="A224" s="9"/>
      <c r="B224" s="35" t="s">
        <v>199</v>
      </c>
      <c r="C224" s="29">
        <v>966</v>
      </c>
      <c r="D224" s="9" t="s">
        <v>89</v>
      </c>
      <c r="E224" s="9" t="s">
        <v>232</v>
      </c>
      <c r="F224" s="29">
        <v>244</v>
      </c>
      <c r="G224" s="29"/>
      <c r="H224" s="25">
        <f>H225+H226+H227</f>
        <v>10000</v>
      </c>
      <c r="I224"/>
    </row>
    <row r="225" spans="1:13" ht="12.75" hidden="1">
      <c r="A225" s="9"/>
      <c r="B225" s="5" t="s">
        <v>208</v>
      </c>
      <c r="C225" s="29">
        <v>966</v>
      </c>
      <c r="D225" s="9" t="s">
        <v>89</v>
      </c>
      <c r="E225" s="9" t="s">
        <v>232</v>
      </c>
      <c r="F225" s="29">
        <v>244</v>
      </c>
      <c r="G225" s="29">
        <v>226</v>
      </c>
      <c r="H225" s="25">
        <f>10125.3-125.3-1503.1-1618.5-431</f>
        <v>6447.4</v>
      </c>
      <c r="I225"/>
      <c r="L225">
        <f>-1618.5-431</f>
        <v>-2049.5</v>
      </c>
      <c r="M225" s="252"/>
    </row>
    <row r="226" spans="1:12" ht="12.75" hidden="1">
      <c r="A226" s="1"/>
      <c r="B226" s="5" t="s">
        <v>218</v>
      </c>
      <c r="C226" s="29">
        <v>966</v>
      </c>
      <c r="D226" s="9" t="s">
        <v>89</v>
      </c>
      <c r="E226" s="9" t="s">
        <v>232</v>
      </c>
      <c r="F226" s="29">
        <v>244</v>
      </c>
      <c r="G226" s="27">
        <v>310</v>
      </c>
      <c r="H226" s="26">
        <f>915.9+1618.5</f>
        <v>2534.4</v>
      </c>
      <c r="I226"/>
      <c r="L226">
        <v>1618.5</v>
      </c>
    </row>
    <row r="227" spans="1:12" ht="13.5" hidden="1" thickBot="1">
      <c r="A227" s="59"/>
      <c r="B227" s="236" t="s">
        <v>217</v>
      </c>
      <c r="C227" s="239">
        <v>966</v>
      </c>
      <c r="D227" s="58" t="s">
        <v>89</v>
      </c>
      <c r="E227" s="58" t="s">
        <v>232</v>
      </c>
      <c r="F227" s="239">
        <v>244</v>
      </c>
      <c r="G227" s="237">
        <v>340</v>
      </c>
      <c r="H227" s="28">
        <f>587.2+431</f>
        <v>1018.2</v>
      </c>
      <c r="I227"/>
      <c r="L227">
        <v>431</v>
      </c>
    </row>
    <row r="228" spans="1:9" ht="30.75" thickBot="1">
      <c r="A228" s="40" t="s">
        <v>144</v>
      </c>
      <c r="B228" s="41" t="s">
        <v>193</v>
      </c>
      <c r="C228" s="42">
        <v>966</v>
      </c>
      <c r="D228" s="43" t="s">
        <v>89</v>
      </c>
      <c r="E228" s="43" t="s">
        <v>233</v>
      </c>
      <c r="F228" s="42"/>
      <c r="G228" s="42"/>
      <c r="H228" s="265">
        <f>H229</f>
        <v>5622.300000000001</v>
      </c>
      <c r="I228"/>
    </row>
    <row r="229" spans="1:9" ht="20.25">
      <c r="A229" s="9" t="s">
        <v>145</v>
      </c>
      <c r="B229" s="33" t="s">
        <v>24</v>
      </c>
      <c r="C229" s="29">
        <v>966</v>
      </c>
      <c r="D229" s="9" t="s">
        <v>89</v>
      </c>
      <c r="E229" s="9" t="s">
        <v>233</v>
      </c>
      <c r="F229" s="29">
        <v>200</v>
      </c>
      <c r="G229" s="29"/>
      <c r="H229" s="25">
        <f>H230</f>
        <v>5622.300000000001</v>
      </c>
      <c r="I229"/>
    </row>
    <row r="230" spans="1:9" ht="21" thickBot="1">
      <c r="A230" s="9"/>
      <c r="B230" s="5" t="s">
        <v>108</v>
      </c>
      <c r="C230" s="29">
        <v>966</v>
      </c>
      <c r="D230" s="9" t="s">
        <v>89</v>
      </c>
      <c r="E230" s="9" t="s">
        <v>233</v>
      </c>
      <c r="F230" s="29">
        <v>240</v>
      </c>
      <c r="G230" s="29"/>
      <c r="H230" s="25">
        <f>H231</f>
        <v>5622.300000000001</v>
      </c>
      <c r="I230"/>
    </row>
    <row r="231" spans="1:9" ht="20.25" hidden="1">
      <c r="A231" s="9"/>
      <c r="B231" s="35" t="s">
        <v>199</v>
      </c>
      <c r="C231" s="29">
        <v>966</v>
      </c>
      <c r="D231" s="9" t="s">
        <v>89</v>
      </c>
      <c r="E231" s="9" t="s">
        <v>233</v>
      </c>
      <c r="F231" s="29">
        <v>244</v>
      </c>
      <c r="G231" s="29"/>
      <c r="H231" s="25">
        <f>H232+H233</f>
        <v>5622.300000000001</v>
      </c>
      <c r="I231"/>
    </row>
    <row r="232" spans="1:9" ht="12.75" hidden="1">
      <c r="A232" s="9"/>
      <c r="B232" s="5" t="s">
        <v>208</v>
      </c>
      <c r="C232" s="29">
        <v>966</v>
      </c>
      <c r="D232" s="9" t="s">
        <v>89</v>
      </c>
      <c r="E232" s="9" t="s">
        <v>233</v>
      </c>
      <c r="F232" s="29">
        <v>244</v>
      </c>
      <c r="G232" s="29">
        <v>226</v>
      </c>
      <c r="H232" s="25">
        <f>1125.1+5014.1-2190-516.9</f>
        <v>3432.3000000000006</v>
      </c>
      <c r="I232"/>
    </row>
    <row r="233" spans="1:9" ht="13.5" hidden="1" thickBot="1">
      <c r="A233" s="9"/>
      <c r="B233" s="5" t="s">
        <v>218</v>
      </c>
      <c r="C233" s="29">
        <v>966</v>
      </c>
      <c r="D233" s="9" t="s">
        <v>89</v>
      </c>
      <c r="E233" s="9" t="s">
        <v>233</v>
      </c>
      <c r="F233" s="29">
        <v>244</v>
      </c>
      <c r="G233" s="29">
        <v>310</v>
      </c>
      <c r="H233" s="25">
        <v>2190</v>
      </c>
      <c r="I233"/>
    </row>
    <row r="234" spans="1:9" ht="41.25" thickBot="1">
      <c r="A234" s="40" t="s">
        <v>146</v>
      </c>
      <c r="B234" s="41" t="s">
        <v>243</v>
      </c>
      <c r="C234" s="42">
        <v>966</v>
      </c>
      <c r="D234" s="43" t="s">
        <v>89</v>
      </c>
      <c r="E234" s="43" t="s">
        <v>186</v>
      </c>
      <c r="F234" s="42"/>
      <c r="G234" s="42"/>
      <c r="H234" s="265">
        <f>H238</f>
        <v>2730.3</v>
      </c>
      <c r="I234"/>
    </row>
    <row r="235" spans="1:9" ht="20.25">
      <c r="A235" s="16" t="s">
        <v>147</v>
      </c>
      <c r="B235" s="115" t="s">
        <v>24</v>
      </c>
      <c r="C235" s="22">
        <v>966</v>
      </c>
      <c r="D235" s="16" t="s">
        <v>89</v>
      </c>
      <c r="E235" s="9" t="s">
        <v>186</v>
      </c>
      <c r="F235" s="22">
        <v>200</v>
      </c>
      <c r="G235" s="22"/>
      <c r="H235" s="25">
        <f>H237</f>
        <v>2730.3</v>
      </c>
      <c r="I235"/>
    </row>
    <row r="236" spans="1:9" ht="21" thickBot="1">
      <c r="A236" s="17"/>
      <c r="B236" s="5" t="s">
        <v>108</v>
      </c>
      <c r="C236" s="23">
        <v>966</v>
      </c>
      <c r="D236" s="17" t="s">
        <v>89</v>
      </c>
      <c r="E236" s="1" t="s">
        <v>186</v>
      </c>
      <c r="F236" s="23">
        <v>240</v>
      </c>
      <c r="G236" s="23"/>
      <c r="H236" s="26">
        <f>H237</f>
        <v>2730.3</v>
      </c>
      <c r="I236"/>
    </row>
    <row r="237" spans="1:9" ht="20.25" hidden="1">
      <c r="A237" s="17"/>
      <c r="B237" s="35" t="s">
        <v>199</v>
      </c>
      <c r="C237" s="23">
        <v>966</v>
      </c>
      <c r="D237" s="17" t="s">
        <v>89</v>
      </c>
      <c r="E237" s="1" t="s">
        <v>186</v>
      </c>
      <c r="F237" s="23">
        <v>244</v>
      </c>
      <c r="G237" s="23"/>
      <c r="H237" s="26">
        <f>H238</f>
        <v>2730.3</v>
      </c>
      <c r="I237"/>
    </row>
    <row r="238" spans="1:9" ht="13.5" hidden="1" thickBot="1">
      <c r="A238" s="17"/>
      <c r="B238" s="5" t="s">
        <v>208</v>
      </c>
      <c r="C238" s="23">
        <v>966</v>
      </c>
      <c r="D238" s="17" t="s">
        <v>89</v>
      </c>
      <c r="E238" s="1" t="s">
        <v>186</v>
      </c>
      <c r="F238" s="23">
        <v>244</v>
      </c>
      <c r="G238" s="23">
        <v>226</v>
      </c>
      <c r="H238" s="26">
        <f>5110.3-3030+650</f>
        <v>2730.3</v>
      </c>
      <c r="I238"/>
    </row>
    <row r="239" spans="1:9" ht="51" hidden="1" thickBot="1">
      <c r="A239" s="40" t="s">
        <v>194</v>
      </c>
      <c r="B239" s="41" t="s">
        <v>164</v>
      </c>
      <c r="C239" s="42">
        <v>966</v>
      </c>
      <c r="D239" s="43" t="s">
        <v>89</v>
      </c>
      <c r="E239" s="43" t="s">
        <v>196</v>
      </c>
      <c r="F239" s="42"/>
      <c r="G239" s="42"/>
      <c r="H239" s="62">
        <f>H242</f>
        <v>0</v>
      </c>
      <c r="I239"/>
    </row>
    <row r="240" spans="1:9" ht="20.25" hidden="1">
      <c r="A240" s="117" t="s">
        <v>195</v>
      </c>
      <c r="B240" s="253" t="s">
        <v>24</v>
      </c>
      <c r="C240" s="116">
        <v>966</v>
      </c>
      <c r="D240" s="117" t="s">
        <v>89</v>
      </c>
      <c r="E240" s="9" t="s">
        <v>196</v>
      </c>
      <c r="F240" s="116">
        <v>200</v>
      </c>
      <c r="G240" s="116"/>
      <c r="H240" s="25">
        <f>H242</f>
        <v>0</v>
      </c>
      <c r="I240"/>
    </row>
    <row r="241" spans="1:9" ht="21" hidden="1" thickBot="1">
      <c r="A241" s="107"/>
      <c r="B241" s="5" t="s">
        <v>108</v>
      </c>
      <c r="C241" s="108">
        <v>966</v>
      </c>
      <c r="D241" s="107" t="s">
        <v>89</v>
      </c>
      <c r="E241" s="1" t="s">
        <v>196</v>
      </c>
      <c r="F241" s="108">
        <v>240</v>
      </c>
      <c r="G241" s="108"/>
      <c r="H241" s="26">
        <f>H242</f>
        <v>0</v>
      </c>
      <c r="I241"/>
    </row>
    <row r="242" spans="1:9" ht="20.25" hidden="1">
      <c r="A242" s="107"/>
      <c r="B242" s="35" t="s">
        <v>199</v>
      </c>
      <c r="C242" s="108">
        <v>966</v>
      </c>
      <c r="D242" s="107" t="s">
        <v>89</v>
      </c>
      <c r="E242" s="1" t="s">
        <v>196</v>
      </c>
      <c r="F242" s="108">
        <v>244</v>
      </c>
      <c r="G242" s="108"/>
      <c r="H242" s="26">
        <f>H243</f>
        <v>0</v>
      </c>
      <c r="I242"/>
    </row>
    <row r="243" spans="1:12" ht="13.5" hidden="1" thickBot="1">
      <c r="A243" s="48"/>
      <c r="B243" s="236" t="s">
        <v>218</v>
      </c>
      <c r="C243" s="49">
        <v>966</v>
      </c>
      <c r="D243" s="48" t="s">
        <v>89</v>
      </c>
      <c r="E243" s="59" t="s">
        <v>196</v>
      </c>
      <c r="F243" s="49">
        <v>244</v>
      </c>
      <c r="G243" s="49">
        <v>310</v>
      </c>
      <c r="H243" s="28">
        <f>983.7-200-783.7</f>
        <v>0</v>
      </c>
      <c r="I243"/>
      <c r="L243">
        <v>-783.7</v>
      </c>
    </row>
    <row r="244" spans="1:9" ht="21" thickBot="1">
      <c r="A244" s="40" t="s">
        <v>429</v>
      </c>
      <c r="B244" s="41" t="s">
        <v>259</v>
      </c>
      <c r="C244" s="42">
        <v>966</v>
      </c>
      <c r="D244" s="43" t="s">
        <v>89</v>
      </c>
      <c r="E244" s="43" t="s">
        <v>253</v>
      </c>
      <c r="F244" s="42"/>
      <c r="G244" s="42"/>
      <c r="H244" s="62">
        <f>H245+H256</f>
        <v>3508.3999999999996</v>
      </c>
      <c r="I244"/>
    </row>
    <row r="245" spans="1:9" ht="40.5">
      <c r="A245" s="117" t="s">
        <v>430</v>
      </c>
      <c r="B245" s="136" t="s">
        <v>105</v>
      </c>
      <c r="C245" s="45">
        <v>966</v>
      </c>
      <c r="D245" s="117" t="s">
        <v>89</v>
      </c>
      <c r="E245" s="9" t="s">
        <v>253</v>
      </c>
      <c r="F245" s="116">
        <v>100</v>
      </c>
      <c r="G245" s="116"/>
      <c r="H245" s="25">
        <f>H246</f>
        <v>3363.5999999999995</v>
      </c>
      <c r="I245"/>
    </row>
    <row r="246" spans="1:9" ht="20.25">
      <c r="A246" s="107"/>
      <c r="B246" s="147" t="s">
        <v>257</v>
      </c>
      <c r="C246" s="49">
        <v>966</v>
      </c>
      <c r="D246" s="107" t="s">
        <v>89</v>
      </c>
      <c r="E246" s="1" t="s">
        <v>253</v>
      </c>
      <c r="F246" s="108">
        <v>110</v>
      </c>
      <c r="G246" s="108"/>
      <c r="H246" s="26">
        <f>H247+H249+H251</f>
        <v>3363.5999999999995</v>
      </c>
      <c r="I246"/>
    </row>
    <row r="247" spans="1:9" ht="20.25" hidden="1">
      <c r="A247" s="107"/>
      <c r="B247" s="147" t="s">
        <v>254</v>
      </c>
      <c r="C247" s="49">
        <v>966</v>
      </c>
      <c r="D247" s="107" t="s">
        <v>89</v>
      </c>
      <c r="E247" s="1" t="s">
        <v>253</v>
      </c>
      <c r="F247" s="108">
        <v>111</v>
      </c>
      <c r="G247" s="108"/>
      <c r="H247" s="26">
        <f>H248</f>
        <v>2598.2</v>
      </c>
      <c r="I247"/>
    </row>
    <row r="248" spans="1:12" ht="12.75" hidden="1">
      <c r="A248" s="107"/>
      <c r="B248" s="147" t="s">
        <v>206</v>
      </c>
      <c r="C248" s="49">
        <v>966</v>
      </c>
      <c r="D248" s="107" t="s">
        <v>89</v>
      </c>
      <c r="E248" s="1" t="s">
        <v>253</v>
      </c>
      <c r="F248" s="108">
        <v>111</v>
      </c>
      <c r="G248" s="108">
        <v>211</v>
      </c>
      <c r="H248" s="26">
        <f>1786.5+811.7</f>
        <v>2598.2</v>
      </c>
      <c r="I248"/>
      <c r="L248">
        <v>811.7</v>
      </c>
    </row>
    <row r="249" spans="1:9" ht="20.25" hidden="1">
      <c r="A249" s="107"/>
      <c r="B249" s="20" t="s">
        <v>421</v>
      </c>
      <c r="C249" s="49">
        <v>966</v>
      </c>
      <c r="D249" s="107" t="s">
        <v>89</v>
      </c>
      <c r="E249" s="1" t="s">
        <v>253</v>
      </c>
      <c r="F249" s="108">
        <v>112</v>
      </c>
      <c r="G249" s="108"/>
      <c r="H249" s="26">
        <f>H250</f>
        <v>1.6</v>
      </c>
      <c r="I249"/>
    </row>
    <row r="250" spans="1:12" ht="12.75" hidden="1">
      <c r="A250" s="107"/>
      <c r="B250" s="20" t="s">
        <v>216</v>
      </c>
      <c r="C250" s="49">
        <v>966</v>
      </c>
      <c r="D250" s="107" t="s">
        <v>89</v>
      </c>
      <c r="E250" s="1" t="s">
        <v>253</v>
      </c>
      <c r="F250" s="108">
        <v>112</v>
      </c>
      <c r="G250" s="108">
        <v>222</v>
      </c>
      <c r="H250" s="26">
        <v>1.6</v>
      </c>
      <c r="I250"/>
      <c r="L250">
        <v>1.6</v>
      </c>
    </row>
    <row r="251" spans="1:9" ht="30" hidden="1">
      <c r="A251" s="107"/>
      <c r="B251" s="147" t="s">
        <v>423</v>
      </c>
      <c r="C251" s="49">
        <v>966</v>
      </c>
      <c r="D251" s="107" t="s">
        <v>89</v>
      </c>
      <c r="E251" s="1" t="s">
        <v>253</v>
      </c>
      <c r="F251" s="108">
        <v>119</v>
      </c>
      <c r="G251" s="108"/>
      <c r="H251" s="26">
        <f>H252</f>
        <v>763.8</v>
      </c>
      <c r="I251"/>
    </row>
    <row r="252" spans="1:13" ht="12.75" hidden="1">
      <c r="A252" s="107"/>
      <c r="B252" s="147" t="s">
        <v>207</v>
      </c>
      <c r="C252" s="49">
        <v>966</v>
      </c>
      <c r="D252" s="107" t="s">
        <v>89</v>
      </c>
      <c r="E252" s="1" t="s">
        <v>253</v>
      </c>
      <c r="F252" s="108">
        <v>119</v>
      </c>
      <c r="G252" s="108">
        <v>213</v>
      </c>
      <c r="H252" s="26">
        <f>535.9+94.5+133.4</f>
        <v>763.8</v>
      </c>
      <c r="I252"/>
      <c r="L252">
        <v>94.5</v>
      </c>
      <c r="M252">
        <v>133.4</v>
      </c>
    </row>
    <row r="253" spans="1:9" ht="20.25" hidden="1">
      <c r="A253" s="107"/>
      <c r="B253" s="20" t="s">
        <v>6</v>
      </c>
      <c r="C253" s="49">
        <v>966</v>
      </c>
      <c r="D253" s="107" t="s">
        <v>89</v>
      </c>
      <c r="E253" s="1" t="s">
        <v>253</v>
      </c>
      <c r="F253" s="108">
        <v>120</v>
      </c>
      <c r="G253" s="108"/>
      <c r="H253" s="26">
        <f>H254</f>
        <v>0</v>
      </c>
      <c r="I253"/>
    </row>
    <row r="254" spans="1:9" ht="20.25" hidden="1">
      <c r="A254" s="107"/>
      <c r="B254" s="20" t="s">
        <v>250</v>
      </c>
      <c r="C254" s="49">
        <v>966</v>
      </c>
      <c r="D254" s="107" t="s">
        <v>89</v>
      </c>
      <c r="E254" s="1" t="s">
        <v>253</v>
      </c>
      <c r="F254" s="108">
        <v>122</v>
      </c>
      <c r="G254" s="108"/>
      <c r="H254" s="26">
        <f>H255</f>
        <v>0</v>
      </c>
      <c r="I254"/>
    </row>
    <row r="255" spans="1:12" ht="12.75" hidden="1">
      <c r="A255" s="107"/>
      <c r="B255" s="20" t="s">
        <v>216</v>
      </c>
      <c r="C255" s="49">
        <v>966</v>
      </c>
      <c r="D255" s="107" t="s">
        <v>89</v>
      </c>
      <c r="E255" s="1" t="s">
        <v>253</v>
      </c>
      <c r="F255" s="108">
        <v>122</v>
      </c>
      <c r="G255" s="108">
        <v>222</v>
      </c>
      <c r="H255" s="26">
        <v>0</v>
      </c>
      <c r="I255"/>
      <c r="L255">
        <v>-1.6</v>
      </c>
    </row>
    <row r="256" spans="1:9" ht="20.25">
      <c r="A256" s="107" t="s">
        <v>431</v>
      </c>
      <c r="B256" s="147" t="s">
        <v>24</v>
      </c>
      <c r="C256" s="49">
        <v>966</v>
      </c>
      <c r="D256" s="107" t="s">
        <v>89</v>
      </c>
      <c r="E256" s="1" t="s">
        <v>253</v>
      </c>
      <c r="F256" s="108">
        <v>200</v>
      </c>
      <c r="G256" s="108"/>
      <c r="H256" s="26">
        <f>H257</f>
        <v>144.8</v>
      </c>
      <c r="I256"/>
    </row>
    <row r="257" spans="1:9" ht="20.25">
      <c r="A257" s="107"/>
      <c r="B257" s="147" t="s">
        <v>108</v>
      </c>
      <c r="C257" s="49">
        <v>966</v>
      </c>
      <c r="D257" s="107" t="s">
        <v>89</v>
      </c>
      <c r="E257" s="1" t="s">
        <v>253</v>
      </c>
      <c r="F257" s="108">
        <v>240</v>
      </c>
      <c r="G257" s="108"/>
      <c r="H257" s="26">
        <f>H260+H258</f>
        <v>144.8</v>
      </c>
      <c r="I257"/>
    </row>
    <row r="258" spans="1:9" ht="20.25" hidden="1">
      <c r="A258" s="107"/>
      <c r="B258" s="7" t="s">
        <v>202</v>
      </c>
      <c r="C258" s="49">
        <v>966</v>
      </c>
      <c r="D258" s="107" t="s">
        <v>89</v>
      </c>
      <c r="E258" s="1" t="s">
        <v>253</v>
      </c>
      <c r="F258" s="108">
        <v>242</v>
      </c>
      <c r="G258" s="108"/>
      <c r="H258" s="26">
        <f>H259</f>
        <v>0</v>
      </c>
      <c r="I258"/>
    </row>
    <row r="259" spans="1:13" ht="12.75" hidden="1">
      <c r="A259" s="107"/>
      <c r="B259" s="7" t="s">
        <v>211</v>
      </c>
      <c r="C259" s="49">
        <v>966</v>
      </c>
      <c r="D259" s="107" t="s">
        <v>89</v>
      </c>
      <c r="E259" s="1" t="s">
        <v>253</v>
      </c>
      <c r="F259" s="108">
        <v>242</v>
      </c>
      <c r="G259" s="108">
        <v>221</v>
      </c>
      <c r="H259" s="26">
        <f>1.3-0.9-0.4</f>
        <v>0</v>
      </c>
      <c r="I259"/>
      <c r="L259">
        <v>-0.9</v>
      </c>
      <c r="M259">
        <v>-0.4</v>
      </c>
    </row>
    <row r="260" spans="1:9" ht="20.25" hidden="1">
      <c r="A260" s="107"/>
      <c r="B260" s="147" t="s">
        <v>199</v>
      </c>
      <c r="C260" s="49">
        <v>966</v>
      </c>
      <c r="D260" s="107" t="s">
        <v>89</v>
      </c>
      <c r="E260" s="1" t="s">
        <v>253</v>
      </c>
      <c r="F260" s="108">
        <v>244</v>
      </c>
      <c r="G260" s="108"/>
      <c r="H260" s="26">
        <f>SUM(H261:H263)</f>
        <v>144.8</v>
      </c>
      <c r="I260"/>
    </row>
    <row r="261" spans="1:12" ht="12.75" hidden="1">
      <c r="A261" s="107"/>
      <c r="B261" s="147" t="s">
        <v>208</v>
      </c>
      <c r="C261" s="49">
        <v>966</v>
      </c>
      <c r="D261" s="107" t="s">
        <v>89</v>
      </c>
      <c r="E261" s="1" t="s">
        <v>253</v>
      </c>
      <c r="F261" s="108">
        <v>244</v>
      </c>
      <c r="G261" s="108">
        <v>226</v>
      </c>
      <c r="H261" s="26">
        <f>200-195.9</f>
        <v>4.099999999999994</v>
      </c>
      <c r="I261"/>
      <c r="L261">
        <v>-195.9</v>
      </c>
    </row>
    <row r="262" spans="1:12" ht="12.75" hidden="1">
      <c r="A262" s="107"/>
      <c r="B262" s="147" t="s">
        <v>218</v>
      </c>
      <c r="C262" s="49">
        <v>966</v>
      </c>
      <c r="D262" s="107" t="s">
        <v>89</v>
      </c>
      <c r="E262" s="1" t="s">
        <v>253</v>
      </c>
      <c r="F262" s="108">
        <v>244</v>
      </c>
      <c r="G262" s="108">
        <v>310</v>
      </c>
      <c r="H262" s="26">
        <f>150-79.3-70</f>
        <v>0.7000000000000028</v>
      </c>
      <c r="I262"/>
      <c r="L262">
        <f>-79.3-70</f>
        <v>-149.3</v>
      </c>
    </row>
    <row r="263" spans="1:12" ht="12.75" hidden="1">
      <c r="A263" s="107"/>
      <c r="B263" s="147" t="s">
        <v>217</v>
      </c>
      <c r="C263" s="49">
        <v>966</v>
      </c>
      <c r="D263" s="107" t="s">
        <v>89</v>
      </c>
      <c r="E263" s="1" t="s">
        <v>253</v>
      </c>
      <c r="F263" s="108">
        <v>244</v>
      </c>
      <c r="G263" s="108">
        <v>340</v>
      </c>
      <c r="H263" s="26">
        <f>300-160</f>
        <v>140</v>
      </c>
      <c r="I263"/>
      <c r="L263">
        <v>-160</v>
      </c>
    </row>
    <row r="264" spans="1:9" ht="30">
      <c r="A264" s="143" t="s">
        <v>432</v>
      </c>
      <c r="B264" s="142" t="s">
        <v>266</v>
      </c>
      <c r="C264" s="144">
        <v>966</v>
      </c>
      <c r="D264" s="145" t="s">
        <v>89</v>
      </c>
      <c r="E264" s="145" t="s">
        <v>173</v>
      </c>
      <c r="F264" s="144"/>
      <c r="G264" s="144"/>
      <c r="H264" s="146">
        <f>H265</f>
        <v>330.79999999999995</v>
      </c>
      <c r="I264"/>
    </row>
    <row r="265" spans="1:9" ht="20.25">
      <c r="A265" s="107" t="s">
        <v>256</v>
      </c>
      <c r="B265" s="147" t="s">
        <v>199</v>
      </c>
      <c r="C265" s="49">
        <v>966</v>
      </c>
      <c r="D265" s="107" t="s">
        <v>89</v>
      </c>
      <c r="E265" s="107" t="s">
        <v>173</v>
      </c>
      <c r="F265" s="108">
        <v>200</v>
      </c>
      <c r="G265" s="108"/>
      <c r="H265" s="134">
        <f>H266</f>
        <v>330.79999999999995</v>
      </c>
      <c r="I265"/>
    </row>
    <row r="266" spans="1:9" ht="21" thickBot="1">
      <c r="A266" s="107"/>
      <c r="B266" s="5" t="s">
        <v>108</v>
      </c>
      <c r="C266" s="108">
        <v>966</v>
      </c>
      <c r="D266" s="107" t="s">
        <v>89</v>
      </c>
      <c r="E266" s="1" t="s">
        <v>173</v>
      </c>
      <c r="F266" s="108">
        <v>240</v>
      </c>
      <c r="G266" s="108"/>
      <c r="H266" s="26">
        <f>H267</f>
        <v>330.79999999999995</v>
      </c>
      <c r="I266"/>
    </row>
    <row r="267" spans="1:9" ht="20.25" hidden="1">
      <c r="A267" s="107"/>
      <c r="B267" s="5" t="s">
        <v>199</v>
      </c>
      <c r="C267" s="108">
        <v>966</v>
      </c>
      <c r="D267" s="107" t="s">
        <v>89</v>
      </c>
      <c r="E267" s="1" t="s">
        <v>173</v>
      </c>
      <c r="F267" s="108">
        <v>244</v>
      </c>
      <c r="G267" s="108"/>
      <c r="H267" s="26">
        <f>H268</f>
        <v>330.79999999999995</v>
      </c>
      <c r="I267"/>
    </row>
    <row r="268" spans="1:13" ht="13.5" hidden="1" thickBot="1">
      <c r="A268" s="48"/>
      <c r="B268" s="236" t="s">
        <v>208</v>
      </c>
      <c r="C268" s="49">
        <v>966</v>
      </c>
      <c r="D268" s="48" t="s">
        <v>89</v>
      </c>
      <c r="E268" s="59" t="s">
        <v>173</v>
      </c>
      <c r="F268" s="49">
        <v>244</v>
      </c>
      <c r="G268" s="49">
        <v>266</v>
      </c>
      <c r="H268" s="28">
        <f>377.4-46.6</f>
        <v>330.79999999999995</v>
      </c>
      <c r="I268"/>
      <c r="M268">
        <v>-46.6</v>
      </c>
    </row>
    <row r="269" spans="1:9" ht="13.5" thickBot="1">
      <c r="A269" s="75" t="s">
        <v>134</v>
      </c>
      <c r="B269" s="76" t="s">
        <v>53</v>
      </c>
      <c r="C269" s="77">
        <v>966</v>
      </c>
      <c r="D269" s="78" t="s">
        <v>90</v>
      </c>
      <c r="E269" s="78"/>
      <c r="F269" s="77"/>
      <c r="G269" s="77"/>
      <c r="H269" s="79">
        <f>H270</f>
        <v>218.00000000000003</v>
      </c>
      <c r="I269"/>
    </row>
    <row r="270" spans="1:9" ht="13.5" thickBot="1">
      <c r="A270" s="69" t="s">
        <v>166</v>
      </c>
      <c r="B270" s="70" t="s">
        <v>55</v>
      </c>
      <c r="C270" s="71">
        <v>966</v>
      </c>
      <c r="D270" s="72" t="s">
        <v>91</v>
      </c>
      <c r="E270" s="72"/>
      <c r="F270" s="71"/>
      <c r="G270" s="71"/>
      <c r="H270" s="73">
        <f>H271</f>
        <v>218.00000000000003</v>
      </c>
      <c r="I270"/>
    </row>
    <row r="271" spans="1:9" ht="61.5" thickBot="1">
      <c r="A271" s="40" t="s">
        <v>51</v>
      </c>
      <c r="B271" s="41" t="s">
        <v>113</v>
      </c>
      <c r="C271" s="42">
        <v>966</v>
      </c>
      <c r="D271" s="43" t="s">
        <v>91</v>
      </c>
      <c r="E271" s="43" t="s">
        <v>187</v>
      </c>
      <c r="F271" s="42"/>
      <c r="G271" s="42"/>
      <c r="H271" s="62">
        <f>H274</f>
        <v>218.00000000000003</v>
      </c>
      <c r="I271"/>
    </row>
    <row r="272" spans="1:9" ht="20.25">
      <c r="A272" s="16" t="s">
        <v>52</v>
      </c>
      <c r="B272" s="50" t="s">
        <v>24</v>
      </c>
      <c r="C272" s="22">
        <v>966</v>
      </c>
      <c r="D272" s="16" t="s">
        <v>91</v>
      </c>
      <c r="E272" s="9" t="s">
        <v>187</v>
      </c>
      <c r="F272" s="22">
        <v>200</v>
      </c>
      <c r="G272" s="22"/>
      <c r="H272" s="25">
        <f>H274</f>
        <v>218.00000000000003</v>
      </c>
      <c r="I272"/>
    </row>
    <row r="273" spans="1:9" ht="21" thickBot="1">
      <c r="A273" s="16"/>
      <c r="B273" s="5" t="s">
        <v>108</v>
      </c>
      <c r="C273" s="22">
        <v>966</v>
      </c>
      <c r="D273" s="16" t="s">
        <v>91</v>
      </c>
      <c r="E273" s="9" t="s">
        <v>187</v>
      </c>
      <c r="F273" s="22">
        <v>240</v>
      </c>
      <c r="G273" s="22"/>
      <c r="H273" s="25">
        <f>H274</f>
        <v>218.00000000000003</v>
      </c>
      <c r="I273"/>
    </row>
    <row r="274" spans="1:9" ht="20.25" hidden="1">
      <c r="A274" s="16"/>
      <c r="B274" s="33" t="s">
        <v>199</v>
      </c>
      <c r="C274" s="22">
        <v>966</v>
      </c>
      <c r="D274" s="16" t="s">
        <v>91</v>
      </c>
      <c r="E274" s="9" t="s">
        <v>187</v>
      </c>
      <c r="F274" s="22">
        <v>244</v>
      </c>
      <c r="G274" s="22"/>
      <c r="H274" s="25">
        <f>H275</f>
        <v>218.00000000000003</v>
      </c>
      <c r="I274"/>
    </row>
    <row r="275" spans="1:13" ht="13.5" hidden="1" thickBot="1">
      <c r="A275" s="16"/>
      <c r="B275" s="5" t="s">
        <v>208</v>
      </c>
      <c r="C275" s="22">
        <v>966</v>
      </c>
      <c r="D275" s="16" t="s">
        <v>91</v>
      </c>
      <c r="E275" s="9" t="s">
        <v>187</v>
      </c>
      <c r="F275" s="22">
        <v>244</v>
      </c>
      <c r="G275" s="22">
        <v>226</v>
      </c>
      <c r="H275" s="25">
        <f>755.6-300-237.6</f>
        <v>218.00000000000003</v>
      </c>
      <c r="I275"/>
      <c r="M275">
        <v>-237.6</v>
      </c>
    </row>
    <row r="276" spans="1:9" ht="13.5" thickBot="1">
      <c r="A276" s="75" t="s">
        <v>148</v>
      </c>
      <c r="B276" s="76" t="s">
        <v>58</v>
      </c>
      <c r="C276" s="77">
        <v>966</v>
      </c>
      <c r="D276" s="78" t="s">
        <v>92</v>
      </c>
      <c r="E276" s="78"/>
      <c r="F276" s="77"/>
      <c r="G276" s="77"/>
      <c r="H276" s="79">
        <f>H277</f>
        <v>32461.2</v>
      </c>
      <c r="I276"/>
    </row>
    <row r="277" spans="1:9" ht="13.5" thickBot="1">
      <c r="A277" s="69" t="s">
        <v>54</v>
      </c>
      <c r="B277" s="70" t="s">
        <v>60</v>
      </c>
      <c r="C277" s="71">
        <v>966</v>
      </c>
      <c r="D277" s="72" t="s">
        <v>93</v>
      </c>
      <c r="E277" s="72"/>
      <c r="F277" s="71"/>
      <c r="G277" s="71"/>
      <c r="H277" s="73">
        <f>H278+H284</f>
        <v>32461.2</v>
      </c>
      <c r="I277"/>
    </row>
    <row r="278" spans="1:9" ht="30.75" thickBot="1">
      <c r="A278" s="40" t="s">
        <v>56</v>
      </c>
      <c r="B278" s="41" t="s">
        <v>122</v>
      </c>
      <c r="C278" s="42">
        <v>966</v>
      </c>
      <c r="D278" s="43" t="s">
        <v>93</v>
      </c>
      <c r="E278" s="43" t="s">
        <v>188</v>
      </c>
      <c r="F278" s="42"/>
      <c r="G278" s="42"/>
      <c r="H278" s="265">
        <f>H279</f>
        <v>32061.2</v>
      </c>
      <c r="I278"/>
    </row>
    <row r="279" spans="1:9" ht="20.25">
      <c r="A279" s="16" t="s">
        <v>57</v>
      </c>
      <c r="B279" s="33" t="s">
        <v>24</v>
      </c>
      <c r="C279" s="22">
        <v>966</v>
      </c>
      <c r="D279" s="16" t="s">
        <v>93</v>
      </c>
      <c r="E279" s="9" t="s">
        <v>188</v>
      </c>
      <c r="F279" s="22">
        <v>200</v>
      </c>
      <c r="G279" s="22"/>
      <c r="H279" s="25">
        <f>H280</f>
        <v>32061.2</v>
      </c>
      <c r="I279"/>
    </row>
    <row r="280" spans="1:9" ht="21" thickBot="1">
      <c r="A280" s="16"/>
      <c r="B280" s="5" t="s">
        <v>108</v>
      </c>
      <c r="C280" s="22">
        <v>966</v>
      </c>
      <c r="D280" s="16" t="s">
        <v>93</v>
      </c>
      <c r="E280" s="9" t="s">
        <v>188</v>
      </c>
      <c r="F280" s="22">
        <v>240</v>
      </c>
      <c r="G280" s="22"/>
      <c r="H280" s="25">
        <f>H281</f>
        <v>32061.2</v>
      </c>
      <c r="I280"/>
    </row>
    <row r="281" spans="1:9" ht="20.25" hidden="1">
      <c r="A281" s="16"/>
      <c r="B281" s="33" t="s">
        <v>199</v>
      </c>
      <c r="C281" s="22">
        <v>966</v>
      </c>
      <c r="D281" s="16" t="s">
        <v>93</v>
      </c>
      <c r="E281" s="9" t="s">
        <v>188</v>
      </c>
      <c r="F281" s="22">
        <v>244</v>
      </c>
      <c r="G281" s="22"/>
      <c r="H281" s="25">
        <v>32061.2</v>
      </c>
      <c r="I281"/>
    </row>
    <row r="282" spans="1:9" ht="12.75" hidden="1">
      <c r="A282" s="16"/>
      <c r="B282" s="5" t="s">
        <v>208</v>
      </c>
      <c r="C282" s="22">
        <v>966</v>
      </c>
      <c r="D282" s="16" t="s">
        <v>93</v>
      </c>
      <c r="E282" s="9" t="s">
        <v>188</v>
      </c>
      <c r="F282" s="22">
        <v>244</v>
      </c>
      <c r="G282" s="22">
        <v>226</v>
      </c>
      <c r="H282" s="25">
        <f>620-620</f>
        <v>0</v>
      </c>
      <c r="I282"/>
    </row>
    <row r="283" spans="1:12" ht="13.5" hidden="1" thickBot="1">
      <c r="A283" s="16"/>
      <c r="B283" s="5" t="s">
        <v>203</v>
      </c>
      <c r="C283" s="22">
        <v>966</v>
      </c>
      <c r="D283" s="16" t="s">
        <v>93</v>
      </c>
      <c r="E283" s="9" t="s">
        <v>188</v>
      </c>
      <c r="F283" s="22">
        <v>244</v>
      </c>
      <c r="G283" s="22">
        <v>290</v>
      </c>
      <c r="H283" s="25">
        <v>32061.2</v>
      </c>
      <c r="I283" t="s">
        <v>251</v>
      </c>
      <c r="L283">
        <v>8337.9</v>
      </c>
    </row>
    <row r="284" spans="1:9" ht="21" thickBot="1">
      <c r="A284" s="40" t="s">
        <v>149</v>
      </c>
      <c r="B284" s="41" t="s">
        <v>123</v>
      </c>
      <c r="C284" s="42">
        <v>966</v>
      </c>
      <c r="D284" s="43" t="s">
        <v>93</v>
      </c>
      <c r="E284" s="43" t="s">
        <v>189</v>
      </c>
      <c r="F284" s="42"/>
      <c r="G284" s="42"/>
      <c r="H284" s="265">
        <f>H285</f>
        <v>400</v>
      </c>
      <c r="I284"/>
    </row>
    <row r="285" spans="1:9" ht="20.25">
      <c r="A285" s="16" t="s">
        <v>150</v>
      </c>
      <c r="B285" s="33" t="s">
        <v>24</v>
      </c>
      <c r="C285" s="22">
        <v>966</v>
      </c>
      <c r="D285" s="16" t="s">
        <v>93</v>
      </c>
      <c r="E285" s="9" t="s">
        <v>189</v>
      </c>
      <c r="F285" s="22">
        <v>200</v>
      </c>
      <c r="G285" s="22"/>
      <c r="H285" s="25">
        <f>H286</f>
        <v>400</v>
      </c>
      <c r="I285"/>
    </row>
    <row r="286" spans="1:9" ht="21" thickBot="1">
      <c r="A286" s="16"/>
      <c r="B286" s="5" t="s">
        <v>108</v>
      </c>
      <c r="C286" s="22">
        <v>966</v>
      </c>
      <c r="D286" s="16" t="s">
        <v>93</v>
      </c>
      <c r="E286" s="9" t="s">
        <v>189</v>
      </c>
      <c r="F286" s="22">
        <v>240</v>
      </c>
      <c r="G286" s="22"/>
      <c r="H286" s="25">
        <f>H287</f>
        <v>400</v>
      </c>
      <c r="I286"/>
    </row>
    <row r="287" spans="1:9" ht="20.25" hidden="1">
      <c r="A287" s="16"/>
      <c r="B287" s="33" t="s">
        <v>199</v>
      </c>
      <c r="C287" s="22">
        <v>966</v>
      </c>
      <c r="D287" s="16" t="s">
        <v>93</v>
      </c>
      <c r="E287" s="9" t="s">
        <v>189</v>
      </c>
      <c r="F287" s="22">
        <v>244</v>
      </c>
      <c r="G287" s="22"/>
      <c r="H287" s="25">
        <f>H288</f>
        <v>400</v>
      </c>
      <c r="I287"/>
    </row>
    <row r="288" spans="1:12" ht="13.5" hidden="1" thickBot="1">
      <c r="A288" s="18"/>
      <c r="B288" s="6" t="s">
        <v>203</v>
      </c>
      <c r="C288" s="24">
        <v>966</v>
      </c>
      <c r="D288" s="18" t="s">
        <v>93</v>
      </c>
      <c r="E288" s="59" t="s">
        <v>189</v>
      </c>
      <c r="F288" s="24">
        <v>244</v>
      </c>
      <c r="G288" s="24">
        <v>290</v>
      </c>
      <c r="H288" s="28">
        <f>570-170</f>
        <v>400</v>
      </c>
      <c r="I288"/>
      <c r="L288">
        <v>-170</v>
      </c>
    </row>
    <row r="289" spans="1:9" ht="13.5" thickBot="1">
      <c r="A289" s="75" t="s">
        <v>151</v>
      </c>
      <c r="B289" s="76" t="s">
        <v>62</v>
      </c>
      <c r="C289" s="77">
        <v>966</v>
      </c>
      <c r="D289" s="78">
        <v>1000</v>
      </c>
      <c r="E289" s="78"/>
      <c r="F289" s="77"/>
      <c r="G289" s="77"/>
      <c r="H289" s="79">
        <f>H290+H296</f>
        <v>9779.519999999999</v>
      </c>
      <c r="I289"/>
    </row>
    <row r="290" spans="1:9" ht="13.5" thickBot="1">
      <c r="A290" s="69" t="s">
        <v>59</v>
      </c>
      <c r="B290" s="70" t="s">
        <v>64</v>
      </c>
      <c r="C290" s="71">
        <v>966</v>
      </c>
      <c r="D290" s="72">
        <v>1003</v>
      </c>
      <c r="E290" s="72"/>
      <c r="F290" s="71"/>
      <c r="G290" s="71"/>
      <c r="H290" s="73">
        <f>H291</f>
        <v>397.82</v>
      </c>
      <c r="I290"/>
    </row>
    <row r="291" spans="1:9" ht="41.25" thickBot="1">
      <c r="A291" s="40" t="s">
        <v>61</v>
      </c>
      <c r="B291" s="41" t="s">
        <v>99</v>
      </c>
      <c r="C291" s="42">
        <v>966</v>
      </c>
      <c r="D291" s="43">
        <v>1003</v>
      </c>
      <c r="E291" s="43" t="s">
        <v>190</v>
      </c>
      <c r="F291" s="42"/>
      <c r="G291" s="42"/>
      <c r="H291" s="62">
        <f>H295</f>
        <v>397.82</v>
      </c>
      <c r="I291"/>
    </row>
    <row r="292" spans="1:9" ht="12.75">
      <c r="A292" s="9" t="s">
        <v>152</v>
      </c>
      <c r="B292" s="10" t="s">
        <v>100</v>
      </c>
      <c r="C292" s="29">
        <v>966</v>
      </c>
      <c r="D292" s="9">
        <v>1003</v>
      </c>
      <c r="E292" s="9" t="s">
        <v>190</v>
      </c>
      <c r="F292" s="29">
        <v>300</v>
      </c>
      <c r="G292" s="29"/>
      <c r="H292" s="25">
        <f>H293</f>
        <v>397.82</v>
      </c>
      <c r="I292"/>
    </row>
    <row r="293" spans="1:9" ht="13.5" thickBot="1">
      <c r="A293" s="9"/>
      <c r="B293" s="35" t="s">
        <v>102</v>
      </c>
      <c r="C293" s="29">
        <v>966</v>
      </c>
      <c r="D293" s="9">
        <v>1003</v>
      </c>
      <c r="E293" s="9" t="s">
        <v>190</v>
      </c>
      <c r="F293" s="29">
        <v>310</v>
      </c>
      <c r="G293" s="29"/>
      <c r="H293" s="25">
        <f>H294</f>
        <v>397.82</v>
      </c>
      <c r="I293"/>
    </row>
    <row r="294" spans="1:9" ht="12.75" hidden="1">
      <c r="A294" s="9"/>
      <c r="B294" s="106" t="s">
        <v>201</v>
      </c>
      <c r="C294" s="29">
        <v>966</v>
      </c>
      <c r="D294" s="9">
        <v>1003</v>
      </c>
      <c r="E294" s="9" t="s">
        <v>190</v>
      </c>
      <c r="F294" s="29">
        <v>312</v>
      </c>
      <c r="G294" s="29"/>
      <c r="H294" s="25">
        <f>H295</f>
        <v>397.82</v>
      </c>
      <c r="I294"/>
    </row>
    <row r="295" spans="1:9" ht="21" hidden="1" thickBot="1">
      <c r="A295" s="9"/>
      <c r="B295" s="35" t="s">
        <v>242</v>
      </c>
      <c r="C295" s="29">
        <v>966</v>
      </c>
      <c r="D295" s="9">
        <v>1003</v>
      </c>
      <c r="E295" s="9" t="s">
        <v>190</v>
      </c>
      <c r="F295" s="29">
        <v>312</v>
      </c>
      <c r="G295" s="29">
        <v>263</v>
      </c>
      <c r="H295" s="25">
        <f>405.32-7.5</f>
        <v>397.82</v>
      </c>
      <c r="I295"/>
    </row>
    <row r="296" spans="1:9" ht="13.5" thickBot="1">
      <c r="A296" s="69" t="s">
        <v>153</v>
      </c>
      <c r="B296" s="70" t="s">
        <v>66</v>
      </c>
      <c r="C296" s="71">
        <v>966</v>
      </c>
      <c r="D296" s="72">
        <v>1004</v>
      </c>
      <c r="E296" s="72"/>
      <c r="F296" s="71"/>
      <c r="G296" s="71"/>
      <c r="H296" s="73">
        <f>H297+H301</f>
        <v>9381.699999999999</v>
      </c>
      <c r="I296"/>
    </row>
    <row r="297" spans="1:9" ht="41.25" thickBot="1">
      <c r="A297" s="40" t="s">
        <v>154</v>
      </c>
      <c r="B297" s="41" t="s">
        <v>126</v>
      </c>
      <c r="C297" s="42">
        <v>966</v>
      </c>
      <c r="D297" s="43">
        <v>1004</v>
      </c>
      <c r="E297" s="43" t="s">
        <v>245</v>
      </c>
      <c r="F297" s="42"/>
      <c r="G297" s="42"/>
      <c r="H297" s="62">
        <f>H298</f>
        <v>6793.099999999999</v>
      </c>
      <c r="I297"/>
    </row>
    <row r="298" spans="1:9" ht="12.75">
      <c r="A298" s="9" t="s">
        <v>155</v>
      </c>
      <c r="B298" s="10" t="s">
        <v>100</v>
      </c>
      <c r="C298" s="29">
        <v>966</v>
      </c>
      <c r="D298" s="9">
        <v>1004</v>
      </c>
      <c r="E298" s="9" t="s">
        <v>245</v>
      </c>
      <c r="F298" s="29">
        <v>300</v>
      </c>
      <c r="G298" s="29"/>
      <c r="H298" s="25">
        <f>H299</f>
        <v>6793.099999999999</v>
      </c>
      <c r="I298"/>
    </row>
    <row r="299" spans="1:9" ht="13.5" thickBot="1">
      <c r="A299" s="9"/>
      <c r="B299" s="35" t="s">
        <v>102</v>
      </c>
      <c r="C299" s="29">
        <v>966</v>
      </c>
      <c r="D299" s="9">
        <v>1004</v>
      </c>
      <c r="E299" s="9" t="s">
        <v>245</v>
      </c>
      <c r="F299" s="29">
        <v>310</v>
      </c>
      <c r="G299" s="29"/>
      <c r="H299" s="25">
        <f>H300</f>
        <v>6793.099999999999</v>
      </c>
      <c r="I299"/>
    </row>
    <row r="300" spans="1:9" ht="21" hidden="1" thickBot="1">
      <c r="A300" s="9"/>
      <c r="B300" s="35" t="s">
        <v>200</v>
      </c>
      <c r="C300" s="29">
        <v>966</v>
      </c>
      <c r="D300" s="9">
        <v>1004</v>
      </c>
      <c r="E300" s="9" t="s">
        <v>245</v>
      </c>
      <c r="F300" s="29">
        <v>313</v>
      </c>
      <c r="G300" s="29">
        <v>262</v>
      </c>
      <c r="H300" s="25">
        <f>5915.9+695.3+181.9</f>
        <v>6793.099999999999</v>
      </c>
      <c r="I300"/>
    </row>
    <row r="301" spans="1:9" ht="30.75" thickBot="1">
      <c r="A301" s="40" t="s">
        <v>156</v>
      </c>
      <c r="B301" s="41" t="s">
        <v>125</v>
      </c>
      <c r="C301" s="42">
        <v>966</v>
      </c>
      <c r="D301" s="43">
        <v>1004</v>
      </c>
      <c r="E301" s="43" t="s">
        <v>246</v>
      </c>
      <c r="F301" s="42"/>
      <c r="G301" s="42"/>
      <c r="H301" s="62">
        <f>H304</f>
        <v>2588.6</v>
      </c>
      <c r="I301"/>
    </row>
    <row r="302" spans="1:9" ht="12.75">
      <c r="A302" s="9" t="s">
        <v>157</v>
      </c>
      <c r="B302" s="10" t="s">
        <v>100</v>
      </c>
      <c r="C302" s="29">
        <v>966</v>
      </c>
      <c r="D302" s="9">
        <v>1004</v>
      </c>
      <c r="E302" s="9" t="s">
        <v>246</v>
      </c>
      <c r="F302" s="29">
        <v>300</v>
      </c>
      <c r="G302" s="29"/>
      <c r="H302" s="25">
        <f>H304</f>
        <v>2588.6</v>
      </c>
      <c r="I302"/>
    </row>
    <row r="303" spans="1:9" ht="23.25" customHeight="1" thickBot="1">
      <c r="A303" s="9"/>
      <c r="B303" s="35" t="s">
        <v>422</v>
      </c>
      <c r="C303" s="29">
        <v>966</v>
      </c>
      <c r="D303" s="9">
        <v>1004</v>
      </c>
      <c r="E303" s="9" t="s">
        <v>246</v>
      </c>
      <c r="F303" s="29">
        <v>320</v>
      </c>
      <c r="G303" s="29"/>
      <c r="H303" s="25">
        <f>H304</f>
        <v>2588.6</v>
      </c>
      <c r="I303"/>
    </row>
    <row r="304" spans="1:9" ht="13.5" customHeight="1" hidden="1">
      <c r="A304" s="9"/>
      <c r="B304" s="106" t="s">
        <v>110</v>
      </c>
      <c r="C304" s="29">
        <v>966</v>
      </c>
      <c r="D304" s="9">
        <v>1004</v>
      </c>
      <c r="E304" s="9" t="s">
        <v>246</v>
      </c>
      <c r="F304" s="29">
        <v>323</v>
      </c>
      <c r="G304" s="29"/>
      <c r="H304" s="25">
        <f>H305</f>
        <v>2588.6</v>
      </c>
      <c r="I304"/>
    </row>
    <row r="305" spans="1:9" ht="21" hidden="1" thickBot="1">
      <c r="A305" s="9"/>
      <c r="B305" s="33" t="s">
        <v>200</v>
      </c>
      <c r="C305" s="29">
        <v>966</v>
      </c>
      <c r="D305" s="9">
        <v>1004</v>
      </c>
      <c r="E305" s="9" t="s">
        <v>246</v>
      </c>
      <c r="F305" s="29">
        <v>323</v>
      </c>
      <c r="G305" s="29">
        <v>226</v>
      </c>
      <c r="H305" s="25">
        <f>3333.7-325.4-419.7</f>
        <v>2588.6</v>
      </c>
      <c r="I305"/>
    </row>
    <row r="306" spans="1:9" ht="12.75">
      <c r="A306" s="95" t="s">
        <v>158</v>
      </c>
      <c r="B306" s="96" t="s">
        <v>67</v>
      </c>
      <c r="C306" s="97">
        <v>966</v>
      </c>
      <c r="D306" s="98">
        <v>1100</v>
      </c>
      <c r="E306" s="98"/>
      <c r="F306" s="97"/>
      <c r="G306" s="97"/>
      <c r="H306" s="99">
        <f>H312+H307</f>
        <v>2080</v>
      </c>
      <c r="I306"/>
    </row>
    <row r="307" spans="1:9" ht="12.75">
      <c r="A307" s="100" t="s">
        <v>63</v>
      </c>
      <c r="B307" s="101" t="s">
        <v>425</v>
      </c>
      <c r="C307" s="102">
        <v>966</v>
      </c>
      <c r="D307" s="100" t="s">
        <v>424</v>
      </c>
      <c r="E307" s="100"/>
      <c r="F307" s="102"/>
      <c r="G307" s="102"/>
      <c r="H307" s="103">
        <f>H308</f>
        <v>440</v>
      </c>
      <c r="I307"/>
    </row>
    <row r="308" spans="1:9" ht="71.25">
      <c r="A308" s="87" t="s">
        <v>65</v>
      </c>
      <c r="B308" s="88" t="s">
        <v>127</v>
      </c>
      <c r="C308" s="89">
        <v>966</v>
      </c>
      <c r="D308" s="87" t="s">
        <v>424</v>
      </c>
      <c r="E308" s="87" t="s">
        <v>248</v>
      </c>
      <c r="F308" s="89"/>
      <c r="G308" s="89"/>
      <c r="H308" s="90">
        <f>H309</f>
        <v>440</v>
      </c>
      <c r="I308"/>
    </row>
    <row r="309" spans="1:9" ht="20.25">
      <c r="A309" s="17" t="s">
        <v>159</v>
      </c>
      <c r="B309" s="35" t="s">
        <v>24</v>
      </c>
      <c r="C309" s="23">
        <v>966</v>
      </c>
      <c r="D309" s="17" t="s">
        <v>424</v>
      </c>
      <c r="E309" s="1" t="s">
        <v>248</v>
      </c>
      <c r="F309" s="23">
        <v>200</v>
      </c>
      <c r="G309" s="23"/>
      <c r="H309" s="26">
        <f>H310</f>
        <v>440</v>
      </c>
      <c r="I309"/>
    </row>
    <row r="310" spans="1:9" ht="20.25">
      <c r="A310" s="17"/>
      <c r="B310" s="5" t="s">
        <v>108</v>
      </c>
      <c r="C310" s="23">
        <v>966</v>
      </c>
      <c r="D310" s="17" t="s">
        <v>424</v>
      </c>
      <c r="E310" s="1" t="s">
        <v>248</v>
      </c>
      <c r="F310" s="23">
        <v>240</v>
      </c>
      <c r="G310" s="23"/>
      <c r="H310" s="26">
        <f>H311</f>
        <v>440</v>
      </c>
      <c r="I310"/>
    </row>
    <row r="311" spans="1:13" ht="20.25" hidden="1">
      <c r="A311" s="17"/>
      <c r="B311" s="33" t="s">
        <v>199</v>
      </c>
      <c r="C311" s="23">
        <v>966</v>
      </c>
      <c r="D311" s="17" t="s">
        <v>424</v>
      </c>
      <c r="E311" s="1" t="s">
        <v>248</v>
      </c>
      <c r="F311" s="23">
        <v>244</v>
      </c>
      <c r="G311" s="23"/>
      <c r="H311" s="26">
        <v>440</v>
      </c>
      <c r="I311"/>
      <c r="M311">
        <v>40</v>
      </c>
    </row>
    <row r="312" spans="1:9" ht="12.75">
      <c r="A312" s="100" t="s">
        <v>300</v>
      </c>
      <c r="B312" s="101" t="s">
        <v>69</v>
      </c>
      <c r="C312" s="102">
        <v>966</v>
      </c>
      <c r="D312" s="100">
        <v>1102</v>
      </c>
      <c r="E312" s="100"/>
      <c r="F312" s="102"/>
      <c r="G312" s="102"/>
      <c r="H312" s="103">
        <f>H313</f>
        <v>1640</v>
      </c>
      <c r="I312"/>
    </row>
    <row r="313" spans="1:9" ht="71.25">
      <c r="A313" s="87" t="s">
        <v>433</v>
      </c>
      <c r="B313" s="88" t="s">
        <v>127</v>
      </c>
      <c r="C313" s="89">
        <v>966</v>
      </c>
      <c r="D313" s="87">
        <v>1102</v>
      </c>
      <c r="E313" s="87" t="s">
        <v>248</v>
      </c>
      <c r="F313" s="89"/>
      <c r="G313" s="89"/>
      <c r="H313" s="90">
        <f>H314</f>
        <v>1640</v>
      </c>
      <c r="I313"/>
    </row>
    <row r="314" spans="1:9" ht="20.25">
      <c r="A314" s="17" t="s">
        <v>434</v>
      </c>
      <c r="B314" s="35" t="s">
        <v>24</v>
      </c>
      <c r="C314" s="23">
        <v>966</v>
      </c>
      <c r="D314" s="17">
        <v>1102</v>
      </c>
      <c r="E314" s="1" t="s">
        <v>248</v>
      </c>
      <c r="F314" s="23">
        <v>200</v>
      </c>
      <c r="G314" s="23"/>
      <c r="H314" s="26">
        <f>H315</f>
        <v>1640</v>
      </c>
      <c r="I314"/>
    </row>
    <row r="315" spans="1:9" ht="20.25">
      <c r="A315" s="17"/>
      <c r="B315" s="5" t="s">
        <v>108</v>
      </c>
      <c r="C315" s="23">
        <v>966</v>
      </c>
      <c r="D315" s="17">
        <v>1102</v>
      </c>
      <c r="E315" s="1" t="s">
        <v>248</v>
      </c>
      <c r="F315" s="23">
        <v>240</v>
      </c>
      <c r="G315" s="23"/>
      <c r="H315" s="26">
        <f>H316</f>
        <v>1640</v>
      </c>
      <c r="I315"/>
    </row>
    <row r="316" spans="1:9" ht="20.25" hidden="1">
      <c r="A316" s="17"/>
      <c r="B316" s="33" t="s">
        <v>199</v>
      </c>
      <c r="C316" s="23">
        <v>966</v>
      </c>
      <c r="D316" s="17">
        <v>1102</v>
      </c>
      <c r="E316" s="1" t="s">
        <v>248</v>
      </c>
      <c r="F316" s="23">
        <v>244</v>
      </c>
      <c r="G316" s="23"/>
      <c r="H316" s="26">
        <v>1640</v>
      </c>
      <c r="I316"/>
    </row>
    <row r="317" spans="1:13" ht="12.75" hidden="1">
      <c r="A317" s="17"/>
      <c r="B317" s="5" t="s">
        <v>203</v>
      </c>
      <c r="C317" s="23">
        <v>966</v>
      </c>
      <c r="D317" s="17">
        <v>1102</v>
      </c>
      <c r="E317" s="1" t="s">
        <v>248</v>
      </c>
      <c r="F317" s="23">
        <v>244</v>
      </c>
      <c r="G317" s="23">
        <v>290</v>
      </c>
      <c r="H317" s="26">
        <v>1640</v>
      </c>
      <c r="I317"/>
      <c r="L317">
        <v>400</v>
      </c>
      <c r="M317">
        <v>1040</v>
      </c>
    </row>
    <row r="318" spans="1:9" ht="12.75">
      <c r="A318" s="91" t="s">
        <v>160</v>
      </c>
      <c r="B318" s="92" t="s">
        <v>72</v>
      </c>
      <c r="C318" s="93">
        <v>966</v>
      </c>
      <c r="D318" s="91">
        <v>1200</v>
      </c>
      <c r="E318" s="91"/>
      <c r="F318" s="93"/>
      <c r="G318" s="93"/>
      <c r="H318" s="94">
        <f>H319</f>
        <v>1650.4</v>
      </c>
      <c r="I318"/>
    </row>
    <row r="319" spans="1:9" ht="12.75">
      <c r="A319" s="100" t="s">
        <v>68</v>
      </c>
      <c r="B319" s="101" t="s">
        <v>73</v>
      </c>
      <c r="C319" s="102">
        <v>966</v>
      </c>
      <c r="D319" s="100">
        <v>1202</v>
      </c>
      <c r="E319" s="100"/>
      <c r="F319" s="102"/>
      <c r="G319" s="102"/>
      <c r="H319" s="103">
        <f>H320</f>
        <v>1650.4</v>
      </c>
      <c r="I319"/>
    </row>
    <row r="320" spans="1:9" ht="91.5">
      <c r="A320" s="87" t="s">
        <v>70</v>
      </c>
      <c r="B320" s="88" t="s">
        <v>111</v>
      </c>
      <c r="C320" s="89">
        <v>966</v>
      </c>
      <c r="D320" s="87">
        <v>1202</v>
      </c>
      <c r="E320" s="87" t="s">
        <v>191</v>
      </c>
      <c r="F320" s="89"/>
      <c r="G320" s="89"/>
      <c r="H320" s="90">
        <f>H321</f>
        <v>1650.4</v>
      </c>
      <c r="I320"/>
    </row>
    <row r="321" spans="1:9" ht="20.25">
      <c r="A321" s="17" t="s">
        <v>71</v>
      </c>
      <c r="B321" s="35" t="s">
        <v>24</v>
      </c>
      <c r="C321" s="23">
        <v>966</v>
      </c>
      <c r="D321" s="17">
        <v>1202</v>
      </c>
      <c r="E321" s="1" t="s">
        <v>191</v>
      </c>
      <c r="F321" s="23">
        <v>200</v>
      </c>
      <c r="G321" s="23"/>
      <c r="H321" s="26">
        <f>H322</f>
        <v>1650.4</v>
      </c>
      <c r="I321"/>
    </row>
    <row r="322" spans="1:9" ht="20.25">
      <c r="A322" s="17"/>
      <c r="B322" s="5" t="s">
        <v>108</v>
      </c>
      <c r="C322" s="23">
        <v>966</v>
      </c>
      <c r="D322" s="17">
        <v>1202</v>
      </c>
      <c r="E322" s="1" t="s">
        <v>191</v>
      </c>
      <c r="F322" s="23">
        <v>240</v>
      </c>
      <c r="G322" s="23"/>
      <c r="H322" s="26">
        <f>H323</f>
        <v>1650.4</v>
      </c>
      <c r="I322"/>
    </row>
    <row r="323" spans="1:9" ht="20.25" hidden="1">
      <c r="A323" s="17"/>
      <c r="B323" s="33" t="s">
        <v>199</v>
      </c>
      <c r="C323" s="23">
        <v>966</v>
      </c>
      <c r="D323" s="17">
        <v>1202</v>
      </c>
      <c r="E323" s="1" t="s">
        <v>191</v>
      </c>
      <c r="F323" s="23">
        <v>244</v>
      </c>
      <c r="G323" s="23"/>
      <c r="H323" s="26">
        <f>H324+H325</f>
        <v>1650.4</v>
      </c>
      <c r="I323"/>
    </row>
    <row r="324" spans="1:9" ht="12.75" hidden="1">
      <c r="A324" s="17"/>
      <c r="B324" s="5" t="s">
        <v>208</v>
      </c>
      <c r="C324" s="23">
        <v>966</v>
      </c>
      <c r="D324" s="17">
        <v>1202</v>
      </c>
      <c r="E324" s="1" t="s">
        <v>191</v>
      </c>
      <c r="F324" s="23">
        <v>244</v>
      </c>
      <c r="G324" s="23">
        <v>226</v>
      </c>
      <c r="H324" s="26">
        <v>145.1</v>
      </c>
      <c r="I324"/>
    </row>
    <row r="325" spans="1:9" ht="12.75" hidden="1">
      <c r="A325" s="17"/>
      <c r="B325" s="5" t="s">
        <v>217</v>
      </c>
      <c r="C325" s="23">
        <v>966</v>
      </c>
      <c r="D325" s="17">
        <v>1202</v>
      </c>
      <c r="E325" s="1" t="s">
        <v>191</v>
      </c>
      <c r="F325" s="23">
        <v>244</v>
      </c>
      <c r="G325" s="23">
        <v>340</v>
      </c>
      <c r="H325" s="26">
        <f>2854.9-490-859.6</f>
        <v>1505.3000000000002</v>
      </c>
      <c r="I325" t="s">
        <v>251</v>
      </c>
    </row>
    <row r="326" spans="1:12" ht="12.75">
      <c r="A326" s="30"/>
      <c r="B326" s="31" t="s">
        <v>74</v>
      </c>
      <c r="C326" s="32"/>
      <c r="D326" s="32"/>
      <c r="E326" s="60"/>
      <c r="F326" s="32"/>
      <c r="G326" s="32"/>
      <c r="H326" s="39">
        <f>H51+H12</f>
        <v>115230.22</v>
      </c>
      <c r="I326"/>
      <c r="L326">
        <f>SUM(L12:L325)</f>
        <v>86.5</v>
      </c>
    </row>
    <row r="327" ht="12.75">
      <c r="N327" s="266">
        <f>H326-'доходы 1'!D88</f>
        <v>5303.920000000013</v>
      </c>
    </row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0">
      <selection activeCell="A6" sqref="A6:A8"/>
    </sheetView>
  </sheetViews>
  <sheetFormatPr defaultColWidth="9.00390625" defaultRowHeight="12.75"/>
  <cols>
    <col min="1" max="1" width="17.25390625" style="0" customWidth="1"/>
    <col min="2" max="2" width="18.125" style="0" customWidth="1"/>
    <col min="3" max="3" width="33.25390625" style="0" customWidth="1"/>
    <col min="4" max="4" width="29.625" style="0" customWidth="1"/>
  </cols>
  <sheetData>
    <row r="1" spans="1:4" ht="12.75" customHeight="1">
      <c r="A1" s="334" t="s">
        <v>460</v>
      </c>
      <c r="B1" s="334"/>
      <c r="C1" s="334"/>
      <c r="D1" s="334"/>
    </row>
    <row r="2" spans="1:4" ht="12.75">
      <c r="A2" s="334"/>
      <c r="B2" s="334"/>
      <c r="C2" s="334"/>
      <c r="D2" s="334"/>
    </row>
    <row r="3" spans="1:4" ht="65.25" customHeight="1">
      <c r="A3" s="334"/>
      <c r="B3" s="334"/>
      <c r="C3" s="334"/>
      <c r="D3" s="334"/>
    </row>
    <row r="4" spans="1:4" ht="48" customHeight="1">
      <c r="A4" s="335" t="s">
        <v>476</v>
      </c>
      <c r="B4" s="335"/>
      <c r="C4" s="335"/>
      <c r="D4" s="335"/>
    </row>
    <row r="5" spans="1:4" ht="14.25" thickBot="1">
      <c r="A5" s="267"/>
      <c r="B5" s="268"/>
      <c r="C5" s="268"/>
      <c r="D5" s="268"/>
    </row>
    <row r="6" spans="1:4" ht="69" customHeight="1">
      <c r="A6" s="336" t="s">
        <v>477</v>
      </c>
      <c r="B6" s="331" t="s">
        <v>435</v>
      </c>
      <c r="C6" s="331" t="s">
        <v>436</v>
      </c>
      <c r="D6" s="269" t="s">
        <v>437</v>
      </c>
    </row>
    <row r="7" spans="1:4" ht="13.5">
      <c r="A7" s="337"/>
      <c r="B7" s="332"/>
      <c r="C7" s="332"/>
      <c r="D7" s="270" t="s">
        <v>438</v>
      </c>
    </row>
    <row r="8" spans="1:4" ht="39" customHeight="1" thickBot="1">
      <c r="A8" s="338"/>
      <c r="B8" s="333"/>
      <c r="C8" s="333"/>
      <c r="D8" s="271"/>
    </row>
    <row r="9" spans="1:4" ht="27.75" thickBot="1">
      <c r="A9" s="272">
        <v>0</v>
      </c>
      <c r="B9" s="275" t="s">
        <v>439</v>
      </c>
      <c r="C9" s="274" t="s">
        <v>440</v>
      </c>
      <c r="D9" s="282">
        <f>D14-D10</f>
        <v>5303.920000000013</v>
      </c>
    </row>
    <row r="10" spans="1:4" ht="27.75" thickBot="1">
      <c r="A10" s="272">
        <v>0</v>
      </c>
      <c r="B10" s="275" t="s">
        <v>441</v>
      </c>
      <c r="C10" s="274" t="s">
        <v>442</v>
      </c>
      <c r="D10" s="273">
        <f>D12</f>
        <v>109926.29999999999</v>
      </c>
    </row>
    <row r="11" spans="1:4" ht="27.75" thickBot="1">
      <c r="A11" s="272">
        <v>0</v>
      </c>
      <c r="B11" s="275" t="s">
        <v>443</v>
      </c>
      <c r="C11" s="274" t="s">
        <v>444</v>
      </c>
      <c r="D11" s="273">
        <f>D12</f>
        <v>109926.29999999999</v>
      </c>
    </row>
    <row r="12" spans="1:4" ht="27.75" thickBot="1">
      <c r="A12" s="272">
        <v>0</v>
      </c>
      <c r="B12" s="275" t="s">
        <v>445</v>
      </c>
      <c r="C12" s="274" t="s">
        <v>446</v>
      </c>
      <c r="D12" s="273">
        <f>D13</f>
        <v>109926.29999999999</v>
      </c>
    </row>
    <row r="13" spans="1:4" ht="69" thickBot="1">
      <c r="A13" s="272">
        <v>966</v>
      </c>
      <c r="B13" s="275" t="s">
        <v>447</v>
      </c>
      <c r="C13" s="274" t="s">
        <v>448</v>
      </c>
      <c r="D13" s="273">
        <f>'доходы 1'!D88</f>
        <v>109926.29999999999</v>
      </c>
    </row>
    <row r="14" spans="1:4" ht="27.75" thickBot="1">
      <c r="A14" s="272">
        <v>0</v>
      </c>
      <c r="B14" s="275" t="s">
        <v>449</v>
      </c>
      <c r="C14" s="274" t="s">
        <v>450</v>
      </c>
      <c r="D14" s="282">
        <f>D15</f>
        <v>115230.22</v>
      </c>
    </row>
    <row r="15" spans="1:4" ht="27.75" thickBot="1">
      <c r="A15" s="272">
        <v>0</v>
      </c>
      <c r="B15" s="275" t="s">
        <v>451</v>
      </c>
      <c r="C15" s="274" t="s">
        <v>452</v>
      </c>
      <c r="D15" s="282">
        <f>D16</f>
        <v>115230.22</v>
      </c>
    </row>
    <row r="16" spans="1:4" ht="27.75" thickBot="1">
      <c r="A16" s="272">
        <v>0</v>
      </c>
      <c r="B16" s="275" t="s">
        <v>453</v>
      </c>
      <c r="C16" s="274" t="s">
        <v>454</v>
      </c>
      <c r="D16" s="282">
        <f>D17</f>
        <v>115230.22</v>
      </c>
    </row>
    <row r="17" spans="1:4" ht="69" thickBot="1">
      <c r="A17" s="272">
        <v>966</v>
      </c>
      <c r="B17" s="275" t="s">
        <v>455</v>
      </c>
      <c r="C17" s="274" t="s">
        <v>456</v>
      </c>
      <c r="D17" s="282">
        <f>'ассигнов 3'!H326</f>
        <v>115230.22</v>
      </c>
    </row>
  </sheetData>
  <sheetProtection/>
  <mergeCells count="5">
    <mergeCell ref="B6:B8"/>
    <mergeCell ref="C6:C8"/>
    <mergeCell ref="A1:D3"/>
    <mergeCell ref="A4:D4"/>
    <mergeCell ref="A6:A8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A5" sqref="A5:C6"/>
    </sheetView>
  </sheetViews>
  <sheetFormatPr defaultColWidth="9.00390625" defaultRowHeight="12.75"/>
  <cols>
    <col min="3" max="3" width="68.875" style="0" customWidth="1"/>
  </cols>
  <sheetData>
    <row r="2" spans="1:3" ht="12.75" customHeight="1">
      <c r="A2" s="341" t="s">
        <v>459</v>
      </c>
      <c r="B2" s="341"/>
      <c r="C2" s="341"/>
    </row>
    <row r="3" spans="1:3" ht="12.75" customHeight="1">
      <c r="A3" s="341"/>
      <c r="B3" s="341"/>
      <c r="C3" s="341"/>
    </row>
    <row r="4" spans="1:3" ht="62.25" customHeight="1">
      <c r="A4" s="341"/>
      <c r="B4" s="341"/>
      <c r="C4" s="341"/>
    </row>
    <row r="5" spans="1:3" ht="12.75">
      <c r="A5" s="339" t="s">
        <v>467</v>
      </c>
      <c r="B5" s="340"/>
      <c r="C5" s="340"/>
    </row>
    <row r="6" spans="1:3" ht="12.75">
      <c r="A6" s="340"/>
      <c r="B6" s="340"/>
      <c r="C6" s="340"/>
    </row>
    <row r="7" spans="1:3" ht="78.75">
      <c r="A7" s="276" t="s">
        <v>418</v>
      </c>
      <c r="B7" s="277" t="s">
        <v>463</v>
      </c>
      <c r="C7" s="276" t="s">
        <v>462</v>
      </c>
    </row>
    <row r="8" spans="1:3" ht="27.75" customHeight="1">
      <c r="A8" s="278">
        <v>1</v>
      </c>
      <c r="B8" s="278">
        <v>182</v>
      </c>
      <c r="C8" s="278" t="s">
        <v>457</v>
      </c>
    </row>
    <row r="9" spans="1:3" ht="50.25" customHeight="1">
      <c r="A9" s="278">
        <v>2</v>
      </c>
      <c r="B9" s="278">
        <v>806</v>
      </c>
      <c r="C9" s="278" t="s">
        <v>469</v>
      </c>
    </row>
    <row r="10" spans="1:3" ht="48" customHeight="1">
      <c r="A10" s="278">
        <v>3</v>
      </c>
      <c r="B10" s="278">
        <v>807</v>
      </c>
      <c r="C10" s="278" t="s">
        <v>458</v>
      </c>
    </row>
    <row r="11" spans="1:3" ht="44.25" customHeight="1">
      <c r="A11" s="278">
        <v>4</v>
      </c>
      <c r="B11" s="278">
        <v>860</v>
      </c>
      <c r="C11" s="278" t="s">
        <v>468</v>
      </c>
    </row>
    <row r="12" spans="1:3" ht="30.75" customHeight="1">
      <c r="A12" s="278">
        <v>5</v>
      </c>
      <c r="B12" s="278">
        <v>867</v>
      </c>
      <c r="C12" s="278" t="s">
        <v>464</v>
      </c>
    </row>
    <row r="13" spans="1:3" ht="30.75" customHeight="1">
      <c r="A13" s="278">
        <v>6</v>
      </c>
      <c r="B13" s="278">
        <v>966</v>
      </c>
      <c r="C13" s="278" t="s">
        <v>465</v>
      </c>
    </row>
  </sheetData>
  <sheetProtection/>
  <mergeCells count="2">
    <mergeCell ref="A5:C6"/>
    <mergeCell ref="A2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82"/>
  <sheetViews>
    <sheetView view="pageBreakPreview" zoomScaleSheetLayoutView="100" zoomScalePageLayoutView="0" workbookViewId="0" topLeftCell="A25">
      <selection activeCell="D22" sqref="D22"/>
    </sheetView>
  </sheetViews>
  <sheetFormatPr defaultColWidth="9.00390625" defaultRowHeight="12.75"/>
  <cols>
    <col min="1" max="1" width="14.375" style="0" customWidth="1"/>
    <col min="2" max="2" width="15.875" style="0" customWidth="1"/>
    <col min="3" max="3" width="14.625" style="0" customWidth="1"/>
    <col min="4" max="4" width="11.50390625" style="0" customWidth="1"/>
    <col min="5" max="5" width="26.00390625" style="0" customWidth="1"/>
    <col min="6" max="6" width="15.00390625" style="0" customWidth="1"/>
  </cols>
  <sheetData>
    <row r="4" spans="2:5" ht="12.75">
      <c r="B4" s="283"/>
      <c r="C4" s="283"/>
      <c r="D4" s="283"/>
      <c r="E4" s="283"/>
    </row>
    <row r="5" spans="2:5" ht="12.75">
      <c r="B5" s="283"/>
      <c r="C5" s="283"/>
      <c r="D5" s="283"/>
      <c r="E5" s="283"/>
    </row>
    <row r="6" spans="2:5" ht="12.75">
      <c r="B6" s="283"/>
      <c r="C6" s="283"/>
      <c r="D6" s="283"/>
      <c r="E6" s="284"/>
    </row>
    <row r="7" spans="2:5" ht="12.75">
      <c r="B7" s="283"/>
      <c r="C7" s="283"/>
      <c r="D7" s="283"/>
      <c r="E7" s="284"/>
    </row>
    <row r="8" spans="2:5" ht="12.75">
      <c r="B8" s="283"/>
      <c r="C8" s="283"/>
      <c r="D8" s="283"/>
      <c r="E8" s="284"/>
    </row>
    <row r="9" spans="2:5" ht="12.75">
      <c r="B9" s="283"/>
      <c r="C9" s="283"/>
      <c r="D9" s="283"/>
      <c r="E9" s="284"/>
    </row>
    <row r="10" spans="2:5" ht="12.75">
      <c r="B10" s="283"/>
      <c r="C10" s="283"/>
      <c r="D10" s="283"/>
      <c r="E10" s="284"/>
    </row>
    <row r="11" ht="12.75">
      <c r="A11" t="s">
        <v>470</v>
      </c>
    </row>
    <row r="12" spans="1:6" ht="30.75">
      <c r="A12" s="285" t="s">
        <v>77</v>
      </c>
      <c r="B12" s="286" t="s">
        <v>219</v>
      </c>
      <c r="C12" s="287" t="s">
        <v>78</v>
      </c>
      <c r="D12" s="285" t="s">
        <v>220</v>
      </c>
      <c r="E12" s="285" t="s">
        <v>471</v>
      </c>
      <c r="F12" s="288" t="s">
        <v>221</v>
      </c>
    </row>
    <row r="13" spans="1:6" ht="30">
      <c r="A13" s="289">
        <v>928</v>
      </c>
      <c r="B13" s="290" t="s">
        <v>79</v>
      </c>
      <c r="C13" s="291" t="s">
        <v>167</v>
      </c>
      <c r="D13" s="289">
        <v>120</v>
      </c>
      <c r="E13" s="20" t="s">
        <v>6</v>
      </c>
      <c r="F13" s="292">
        <v>9.7</v>
      </c>
    </row>
    <row r="14" spans="1:6" ht="30">
      <c r="A14" s="289">
        <v>928</v>
      </c>
      <c r="B14" s="290" t="s">
        <v>81</v>
      </c>
      <c r="C14" s="291" t="s">
        <v>170</v>
      </c>
      <c r="D14" s="289">
        <v>120</v>
      </c>
      <c r="E14" s="20" t="s">
        <v>6</v>
      </c>
      <c r="F14" s="292">
        <v>-28.2</v>
      </c>
    </row>
    <row r="15" spans="1:6" ht="30">
      <c r="A15" s="289">
        <v>928</v>
      </c>
      <c r="B15" s="290" t="s">
        <v>81</v>
      </c>
      <c r="C15" s="291" t="s">
        <v>168</v>
      </c>
      <c r="D15" s="289">
        <v>120</v>
      </c>
      <c r="E15" s="20" t="s">
        <v>6</v>
      </c>
      <c r="F15" s="292">
        <v>-15.6</v>
      </c>
    </row>
    <row r="16" spans="1:6" ht="30">
      <c r="A16" s="289">
        <v>928</v>
      </c>
      <c r="B16" s="290" t="s">
        <v>81</v>
      </c>
      <c r="C16" s="291" t="s">
        <v>170</v>
      </c>
      <c r="D16" s="289">
        <v>240</v>
      </c>
      <c r="E16" s="20" t="s">
        <v>108</v>
      </c>
      <c r="F16" s="292">
        <v>12.3</v>
      </c>
    </row>
    <row r="17" spans="1:6" ht="30">
      <c r="A17" s="289">
        <v>966</v>
      </c>
      <c r="B17" s="290" t="s">
        <v>84</v>
      </c>
      <c r="C17" s="291" t="s">
        <v>171</v>
      </c>
      <c r="D17" s="289">
        <v>120</v>
      </c>
      <c r="E17" s="5" t="s">
        <v>6</v>
      </c>
      <c r="F17" s="292">
        <v>-27.4</v>
      </c>
    </row>
    <row r="18" spans="1:6" ht="30">
      <c r="A18" s="289">
        <v>966</v>
      </c>
      <c r="B18" s="290" t="s">
        <v>84</v>
      </c>
      <c r="C18" s="291" t="s">
        <v>172</v>
      </c>
      <c r="D18" s="289">
        <v>120</v>
      </c>
      <c r="E18" s="5" t="s">
        <v>6</v>
      </c>
      <c r="F18" s="292">
        <v>-451</v>
      </c>
    </row>
    <row r="19" spans="1:6" ht="30">
      <c r="A19" s="289">
        <v>966</v>
      </c>
      <c r="B19" s="290" t="s">
        <v>84</v>
      </c>
      <c r="C19" s="291" t="s">
        <v>172</v>
      </c>
      <c r="D19" s="289">
        <v>240</v>
      </c>
      <c r="E19" s="5" t="s">
        <v>108</v>
      </c>
      <c r="F19" s="292">
        <v>-27.7</v>
      </c>
    </row>
    <row r="20" spans="1:6" ht="15">
      <c r="A20" s="289">
        <v>966</v>
      </c>
      <c r="B20" s="290" t="s">
        <v>84</v>
      </c>
      <c r="C20" s="291" t="s">
        <v>172</v>
      </c>
      <c r="D20" s="289">
        <v>830</v>
      </c>
      <c r="E20" s="5" t="s">
        <v>97</v>
      </c>
      <c r="F20" s="292">
        <v>-52.3</v>
      </c>
    </row>
    <row r="21" spans="1:6" ht="30">
      <c r="A21" s="289">
        <v>966</v>
      </c>
      <c r="B21" s="290" t="s">
        <v>84</v>
      </c>
      <c r="C21" s="291" t="s">
        <v>229</v>
      </c>
      <c r="D21" s="289">
        <v>120</v>
      </c>
      <c r="E21" s="5" t="s">
        <v>6</v>
      </c>
      <c r="F21" s="292">
        <v>-13.5</v>
      </c>
    </row>
    <row r="22" spans="1:6" ht="30">
      <c r="A22" s="289">
        <v>966</v>
      </c>
      <c r="B22" s="290" t="s">
        <v>84</v>
      </c>
      <c r="C22" s="291" t="s">
        <v>229</v>
      </c>
      <c r="D22" s="289">
        <v>240</v>
      </c>
      <c r="E22" s="5" t="s">
        <v>108</v>
      </c>
      <c r="F22" s="292">
        <v>13.5</v>
      </c>
    </row>
    <row r="23" spans="1:6" ht="15">
      <c r="A23" s="289">
        <v>966</v>
      </c>
      <c r="B23" s="290" t="s">
        <v>85</v>
      </c>
      <c r="C23" s="291" t="s">
        <v>173</v>
      </c>
      <c r="D23" s="289">
        <v>870</v>
      </c>
      <c r="E23" s="5" t="s">
        <v>29</v>
      </c>
      <c r="F23" s="292">
        <v>-12.6</v>
      </c>
    </row>
    <row r="24" spans="1:6" ht="30">
      <c r="A24" s="289">
        <v>966</v>
      </c>
      <c r="B24" s="290" t="s">
        <v>83</v>
      </c>
      <c r="C24" s="291" t="s">
        <v>179</v>
      </c>
      <c r="D24" s="289">
        <v>240</v>
      </c>
      <c r="E24" s="5" t="s">
        <v>108</v>
      </c>
      <c r="F24" s="292">
        <v>-10</v>
      </c>
    </row>
    <row r="25" spans="1:6" ht="20.25">
      <c r="A25" s="289">
        <v>966</v>
      </c>
      <c r="B25" s="290" t="s">
        <v>83</v>
      </c>
      <c r="C25" s="291" t="s">
        <v>255</v>
      </c>
      <c r="D25" s="289">
        <v>110</v>
      </c>
      <c r="E25" s="5" t="s">
        <v>478</v>
      </c>
      <c r="F25" s="292">
        <v>29.8</v>
      </c>
    </row>
    <row r="26" spans="1:6" ht="30">
      <c r="A26" s="289">
        <v>966</v>
      </c>
      <c r="B26" s="290" t="s">
        <v>87</v>
      </c>
      <c r="C26" s="291" t="s">
        <v>181</v>
      </c>
      <c r="D26" s="289">
        <v>240</v>
      </c>
      <c r="E26" s="5" t="s">
        <v>108</v>
      </c>
      <c r="F26" s="292">
        <v>-70</v>
      </c>
    </row>
    <row r="27" spans="1:6" ht="30">
      <c r="A27" s="289">
        <v>966</v>
      </c>
      <c r="B27" s="290" t="s">
        <v>87</v>
      </c>
      <c r="C27" s="291" t="s">
        <v>182</v>
      </c>
      <c r="D27" s="289">
        <v>240</v>
      </c>
      <c r="E27" s="5" t="s">
        <v>108</v>
      </c>
      <c r="F27" s="292">
        <v>-16.8</v>
      </c>
    </row>
    <row r="28" spans="1:6" ht="30">
      <c r="A28" s="289">
        <v>966</v>
      </c>
      <c r="B28" s="290" t="s">
        <v>89</v>
      </c>
      <c r="C28" s="291" t="s">
        <v>173</v>
      </c>
      <c r="D28" s="289">
        <v>240</v>
      </c>
      <c r="E28" s="5" t="s">
        <v>108</v>
      </c>
      <c r="F28" s="292">
        <v>-46.6</v>
      </c>
    </row>
    <row r="29" spans="1:6" ht="30">
      <c r="A29" s="289">
        <v>966</v>
      </c>
      <c r="B29" s="290" t="s">
        <v>89</v>
      </c>
      <c r="C29" s="291" t="s">
        <v>183</v>
      </c>
      <c r="D29" s="289">
        <v>240</v>
      </c>
      <c r="E29" s="5" t="s">
        <v>108</v>
      </c>
      <c r="F29" s="292">
        <v>-7839.6</v>
      </c>
    </row>
    <row r="30" spans="1:6" ht="30">
      <c r="A30" s="289">
        <v>966</v>
      </c>
      <c r="B30" s="290" t="s">
        <v>89</v>
      </c>
      <c r="C30" s="291" t="s">
        <v>184</v>
      </c>
      <c r="D30" s="289">
        <v>240</v>
      </c>
      <c r="E30" s="5" t="s">
        <v>108</v>
      </c>
      <c r="F30" s="292">
        <v>-142.1</v>
      </c>
    </row>
    <row r="31" spans="1:6" ht="30">
      <c r="A31" s="289">
        <v>966</v>
      </c>
      <c r="B31" s="290" t="s">
        <v>89</v>
      </c>
      <c r="C31" s="291" t="s">
        <v>185</v>
      </c>
      <c r="D31" s="289">
        <v>240</v>
      </c>
      <c r="E31" s="5" t="s">
        <v>108</v>
      </c>
      <c r="F31" s="292">
        <v>510.2</v>
      </c>
    </row>
    <row r="32" spans="1:6" ht="20.25">
      <c r="A32" s="289">
        <v>966</v>
      </c>
      <c r="B32" s="290" t="s">
        <v>89</v>
      </c>
      <c r="C32" s="291" t="s">
        <v>253</v>
      </c>
      <c r="D32" s="289">
        <v>110</v>
      </c>
      <c r="E32" s="5" t="s">
        <v>478</v>
      </c>
      <c r="F32" s="292">
        <v>133.4</v>
      </c>
    </row>
    <row r="33" spans="1:6" ht="30">
      <c r="A33" s="289">
        <v>966</v>
      </c>
      <c r="B33" s="290" t="s">
        <v>89</v>
      </c>
      <c r="C33" s="291" t="s">
        <v>253</v>
      </c>
      <c r="D33" s="289">
        <v>240</v>
      </c>
      <c r="E33" s="5" t="s">
        <v>108</v>
      </c>
      <c r="F33" s="292">
        <v>-0.4</v>
      </c>
    </row>
    <row r="34" spans="1:6" ht="30">
      <c r="A34" s="289">
        <v>966</v>
      </c>
      <c r="B34" s="290" t="s">
        <v>91</v>
      </c>
      <c r="C34" s="291" t="s">
        <v>187</v>
      </c>
      <c r="D34" s="289">
        <v>240</v>
      </c>
      <c r="E34" s="20" t="s">
        <v>108</v>
      </c>
      <c r="F34" s="292">
        <v>-237.6</v>
      </c>
    </row>
    <row r="35" spans="1:6" ht="30">
      <c r="A35" s="289">
        <v>966</v>
      </c>
      <c r="B35" s="290" t="s">
        <v>93</v>
      </c>
      <c r="C35" s="291" t="s">
        <v>188</v>
      </c>
      <c r="D35" s="289">
        <v>240</v>
      </c>
      <c r="E35" s="7" t="s">
        <v>108</v>
      </c>
      <c r="F35" s="292">
        <v>4506.4</v>
      </c>
    </row>
    <row r="36" spans="1:6" ht="30">
      <c r="A36" s="289">
        <v>966</v>
      </c>
      <c r="B36" s="290" t="s">
        <v>472</v>
      </c>
      <c r="C36" s="291" t="s">
        <v>248</v>
      </c>
      <c r="D36" s="289">
        <v>240</v>
      </c>
      <c r="E36" s="7" t="s">
        <v>108</v>
      </c>
      <c r="F36" s="292">
        <v>1040</v>
      </c>
    </row>
    <row r="37" spans="1:6" ht="30">
      <c r="A37" s="289">
        <v>966</v>
      </c>
      <c r="B37" s="290" t="s">
        <v>424</v>
      </c>
      <c r="C37" s="291" t="s">
        <v>248</v>
      </c>
      <c r="D37" s="289">
        <v>240</v>
      </c>
      <c r="E37" s="7" t="s">
        <v>108</v>
      </c>
      <c r="F37" s="292">
        <v>40</v>
      </c>
    </row>
    <row r="38" spans="1:7" ht="15">
      <c r="A38" s="342" t="s">
        <v>473</v>
      </c>
      <c r="B38" s="343"/>
      <c r="C38" s="343"/>
      <c r="D38" s="344"/>
      <c r="E38" s="5"/>
      <c r="F38" s="292">
        <f>SUM(F13:F37)</f>
        <v>-2696.1000000000004</v>
      </c>
      <c r="G38">
        <v>-2696.1</v>
      </c>
    </row>
    <row r="39" spans="2:5" ht="12.75">
      <c r="B39" s="283"/>
      <c r="C39" s="283"/>
      <c r="D39" s="283"/>
      <c r="E39" s="283"/>
    </row>
    <row r="40" spans="1:6" ht="15" customHeight="1">
      <c r="A40" s="345" t="s">
        <v>474</v>
      </c>
      <c r="B40" s="345"/>
      <c r="C40" s="345"/>
      <c r="D40" s="345"/>
      <c r="E40" s="293"/>
      <c r="F40" s="294" t="s">
        <v>475</v>
      </c>
    </row>
    <row r="41" spans="1:5" ht="12.75">
      <c r="A41" s="345"/>
      <c r="B41" s="345"/>
      <c r="C41" s="345"/>
      <c r="D41" s="345"/>
      <c r="E41" s="283"/>
    </row>
    <row r="42" spans="2:5" ht="12.75">
      <c r="B42" s="283"/>
      <c r="C42" s="283"/>
      <c r="D42" s="283"/>
      <c r="E42" s="283"/>
    </row>
    <row r="43" spans="2:5" ht="12.75">
      <c r="B43" s="283"/>
      <c r="C43" s="283"/>
      <c r="D43" s="283"/>
      <c r="E43" s="283"/>
    </row>
    <row r="44" spans="2:5" ht="12.75">
      <c r="B44" s="283"/>
      <c r="C44" s="283"/>
      <c r="D44" s="283"/>
      <c r="E44" s="283"/>
    </row>
    <row r="45" spans="2:5" ht="12.75">
      <c r="B45" s="283"/>
      <c r="C45" s="283"/>
      <c r="D45" s="283"/>
      <c r="E45" s="283"/>
    </row>
    <row r="46" spans="2:5" ht="12.75">
      <c r="B46" s="283"/>
      <c r="C46" s="283"/>
      <c r="D46" s="283"/>
      <c r="E46" s="283"/>
    </row>
    <row r="47" spans="2:5" ht="12.75">
      <c r="B47" s="283"/>
      <c r="C47" s="283"/>
      <c r="D47" s="283"/>
      <c r="E47" s="283"/>
    </row>
    <row r="48" spans="2:5" ht="12.75">
      <c r="B48" s="283"/>
      <c r="C48" s="283"/>
      <c r="D48" s="283"/>
      <c r="E48" s="283"/>
    </row>
    <row r="49" spans="2:5" ht="12.75">
      <c r="B49" s="283"/>
      <c r="C49" s="283"/>
      <c r="D49" s="283"/>
      <c r="E49" s="283"/>
    </row>
    <row r="50" spans="2:5" ht="12.75">
      <c r="B50" s="283"/>
      <c r="C50" s="283"/>
      <c r="D50" s="283"/>
      <c r="E50" s="283"/>
    </row>
    <row r="51" spans="2:5" ht="12.75">
      <c r="B51" s="283"/>
      <c r="C51" s="283"/>
      <c r="D51" s="283"/>
      <c r="E51" s="283"/>
    </row>
    <row r="52" spans="2:5" ht="12.75">
      <c r="B52" s="283"/>
      <c r="C52" s="283"/>
      <c r="D52" s="283"/>
      <c r="E52" s="283"/>
    </row>
    <row r="53" spans="2:5" ht="12.75">
      <c r="B53" s="283"/>
      <c r="C53" s="283"/>
      <c r="D53" s="283"/>
      <c r="E53" s="283"/>
    </row>
    <row r="54" spans="2:5" ht="12.75">
      <c r="B54" s="283"/>
      <c r="C54" s="283"/>
      <c r="D54" s="283"/>
      <c r="E54" s="283"/>
    </row>
    <row r="55" spans="2:5" ht="12.75">
      <c r="B55" s="283"/>
      <c r="C55" s="283"/>
      <c r="D55" s="283"/>
      <c r="E55" s="283"/>
    </row>
    <row r="56" spans="2:5" ht="12.75">
      <c r="B56" s="283"/>
      <c r="C56" s="283"/>
      <c r="D56" s="283"/>
      <c r="E56" s="283"/>
    </row>
    <row r="57" spans="2:5" ht="12.75">
      <c r="B57" s="283"/>
      <c r="C57" s="283"/>
      <c r="D57" s="283"/>
      <c r="E57" s="283"/>
    </row>
    <row r="58" spans="2:5" ht="12.75">
      <c r="B58" s="283"/>
      <c r="C58" s="283"/>
      <c r="D58" s="283"/>
      <c r="E58" s="283"/>
    </row>
    <row r="59" spans="2:5" ht="12.75">
      <c r="B59" s="283"/>
      <c r="C59" s="283"/>
      <c r="D59" s="283"/>
      <c r="E59" s="283"/>
    </row>
    <row r="60" spans="2:5" ht="12.75">
      <c r="B60" s="283"/>
      <c r="C60" s="283"/>
      <c r="D60" s="283"/>
      <c r="E60" s="283"/>
    </row>
    <row r="61" spans="2:5" ht="12.75">
      <c r="B61" s="283"/>
      <c r="C61" s="283"/>
      <c r="D61" s="283"/>
      <c r="E61" s="283"/>
    </row>
    <row r="62" spans="2:5" ht="12.75">
      <c r="B62" s="283"/>
      <c r="C62" s="283"/>
      <c r="D62" s="283"/>
      <c r="E62" s="283"/>
    </row>
    <row r="63" spans="2:5" ht="12.75">
      <c r="B63" s="283"/>
      <c r="C63" s="283"/>
      <c r="D63" s="283"/>
      <c r="E63" s="283"/>
    </row>
    <row r="64" spans="2:5" ht="12.75">
      <c r="B64" s="283"/>
      <c r="C64" s="283"/>
      <c r="D64" s="283"/>
      <c r="E64" s="283"/>
    </row>
    <row r="65" spans="2:5" ht="12.75">
      <c r="B65" s="283"/>
      <c r="C65" s="283"/>
      <c r="D65" s="283"/>
      <c r="E65" s="283"/>
    </row>
    <row r="66" spans="2:5" ht="12.75">
      <c r="B66" s="283"/>
      <c r="C66" s="283"/>
      <c r="D66" s="283"/>
      <c r="E66" s="283"/>
    </row>
    <row r="67" spans="2:5" ht="12.75">
      <c r="B67" s="283"/>
      <c r="C67" s="283"/>
      <c r="D67" s="283"/>
      <c r="E67" s="283"/>
    </row>
    <row r="68" spans="2:5" ht="12.75">
      <c r="B68" s="283"/>
      <c r="C68" s="283"/>
      <c r="D68" s="283"/>
      <c r="E68" s="283"/>
    </row>
    <row r="69" spans="2:5" ht="12.75">
      <c r="B69" s="283"/>
      <c r="C69" s="283"/>
      <c r="D69" s="283"/>
      <c r="E69" s="283"/>
    </row>
    <row r="70" spans="2:5" ht="12.75">
      <c r="B70" s="283"/>
      <c r="C70" s="283"/>
      <c r="D70" s="283"/>
      <c r="E70" s="283"/>
    </row>
    <row r="71" spans="2:5" ht="12.75">
      <c r="B71" s="283"/>
      <c r="C71" s="283"/>
      <c r="D71" s="283"/>
      <c r="E71" s="283"/>
    </row>
    <row r="72" spans="2:5" ht="12.75">
      <c r="B72" s="283"/>
      <c r="C72" s="283"/>
      <c r="D72" s="283"/>
      <c r="E72" s="283"/>
    </row>
    <row r="73" spans="2:5" ht="12.75">
      <c r="B73" s="283"/>
      <c r="C73" s="283"/>
      <c r="D73" s="283"/>
      <c r="E73" s="283"/>
    </row>
    <row r="74" spans="2:5" ht="12.75">
      <c r="B74" s="283"/>
      <c r="C74" s="283"/>
      <c r="D74" s="283"/>
      <c r="E74" s="283"/>
    </row>
    <row r="75" spans="2:5" ht="12.75">
      <c r="B75" s="283"/>
      <c r="C75" s="283"/>
      <c r="D75" s="283"/>
      <c r="E75" s="283"/>
    </row>
    <row r="76" spans="2:5" ht="12.75">
      <c r="B76" s="283"/>
      <c r="C76" s="283"/>
      <c r="D76" s="283"/>
      <c r="E76" s="283"/>
    </row>
    <row r="77" spans="2:5" ht="12.75">
      <c r="B77" s="283"/>
      <c r="C77" s="283"/>
      <c r="D77" s="283"/>
      <c r="E77" s="283"/>
    </row>
    <row r="78" spans="2:5" ht="12.75">
      <c r="B78" s="283"/>
      <c r="C78" s="283"/>
      <c r="D78" s="283"/>
      <c r="E78" s="283"/>
    </row>
    <row r="79" spans="2:5" ht="12.75">
      <c r="B79" s="283"/>
      <c r="C79" s="283"/>
      <c r="D79" s="283"/>
      <c r="E79" s="283"/>
    </row>
    <row r="80" spans="2:5" ht="12.75">
      <c r="B80" s="283"/>
      <c r="C80" s="283"/>
      <c r="D80" s="283"/>
      <c r="E80" s="283"/>
    </row>
    <row r="81" spans="2:5" ht="12.75">
      <c r="B81" s="283"/>
      <c r="C81" s="283"/>
      <c r="D81" s="283"/>
      <c r="E81" s="283"/>
    </row>
    <row r="82" spans="2:5" ht="12.75">
      <c r="B82" s="283"/>
      <c r="C82" s="283"/>
      <c r="D82" s="283"/>
      <c r="E82" s="283"/>
    </row>
  </sheetData>
  <sheetProtection/>
  <mergeCells count="2">
    <mergeCell ref="A38:D38"/>
    <mergeCell ref="A40:D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Ирина Торопыгина</cp:lastModifiedBy>
  <cp:lastPrinted>2016-12-23T11:22:07Z</cp:lastPrinted>
  <dcterms:created xsi:type="dcterms:W3CDTF">2015-01-16T07:52:13Z</dcterms:created>
  <dcterms:modified xsi:type="dcterms:W3CDTF">2016-12-26T08:19:23Z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