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0" windowWidth="19320" windowHeight="8145" activeTab="0"/>
  </bookViews>
  <sheets>
    <sheet name="Прил1 Доходы" sheetId="1" r:id="rId1"/>
    <sheet name="прил 2 Ведомств" sheetId="2" r:id="rId2"/>
    <sheet name="Прил 3 по разделам" sheetId="3" r:id="rId3"/>
    <sheet name="Прил 4 дефицит" sheetId="4" r:id="rId4"/>
    <sheet name="НЕ УДАЛЯТЬ" sheetId="5" r:id="rId5"/>
  </sheets>
  <definedNames>
    <definedName name="_xlnm.Print_Area" localSheetId="4">'НЕ УДАЛЯТЬ'!$A$1:$H$326</definedName>
  </definedNames>
  <calcPr fullCalcOnLoad="1"/>
</workbook>
</file>

<file path=xl/sharedStrings.xml><?xml version="1.0" encoding="utf-8"?>
<sst xmlns="http://schemas.openxmlformats.org/spreadsheetml/2006/main" count="3290" uniqueCount="511">
  <si>
    <t>1.</t>
  </si>
  <si>
    <t>Общегосударственные вопросы</t>
  </si>
  <si>
    <t>1.1.</t>
  </si>
  <si>
    <t>Функционирование высшего должностного лица субъекта Российиской Федерации и муниципального образования</t>
  </si>
  <si>
    <t>1.1.1.</t>
  </si>
  <si>
    <t>Глава муниципального образования</t>
  </si>
  <si>
    <t>Расходы на выплаты персоналу государственных (муниципальных) органов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</si>
  <si>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</si>
  <si>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</si>
  <si>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1.2.2.</t>
  </si>
  <si>
    <t>Компенсация депутатам осуществляющие свои полномочия на непостоянной основе</t>
  </si>
  <si>
    <t>1.2.2.1.</t>
  </si>
  <si>
    <t>Аппарат представительного органа муниципального образования</t>
  </si>
  <si>
    <t>Другие общегосударственные вопросы</t>
  </si>
  <si>
    <t>Уплата налогов, сборов и иных платежей</t>
  </si>
  <si>
    <t>2.1.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</si>
  <si>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</si>
  <si>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2.1.1.</t>
  </si>
  <si>
    <t>Глава Местной Администрации</t>
  </si>
  <si>
    <t>2.1.1.1.</t>
  </si>
  <si>
    <t>2.1.2.</t>
  </si>
  <si>
    <t>Содержание и обеспечение деятельности Местной Администрации по решению вопросов местного значения</t>
  </si>
  <si>
    <t>2.1.2.1.</t>
  </si>
  <si>
    <t>2.1.2.2.</t>
  </si>
  <si>
    <t>Закупка товаров, работ и услуг для государственных (муниципальных) нужд</t>
  </si>
  <si>
    <t>2.2.</t>
  </si>
  <si>
    <t>Резервный фонд</t>
  </si>
  <si>
    <t>Резервный фонд местной администрации</t>
  </si>
  <si>
    <t>2.2.1.1.</t>
  </si>
  <si>
    <t>Резервные средства</t>
  </si>
  <si>
    <t>2.3.</t>
  </si>
  <si>
    <t>2.3.1.</t>
  </si>
  <si>
    <t>2.3.1.1.</t>
  </si>
  <si>
    <t>2.3.2.</t>
  </si>
  <si>
    <t>2.3.2.1.</t>
  </si>
  <si>
    <t>2.3.3.</t>
  </si>
  <si>
    <t>2.3.3.1.</t>
  </si>
  <si>
    <t>2.3.4.</t>
  </si>
  <si>
    <t>2.3.4.1.</t>
  </si>
  <si>
    <t>2.3.5.</t>
  </si>
  <si>
    <t>2.3.6.</t>
  </si>
  <si>
    <t>2.3.7.</t>
  </si>
  <si>
    <t>2.3.7.1</t>
  </si>
  <si>
    <t>3.</t>
  </si>
  <si>
    <t>Национальная безопасность и правоохранительная деятельность</t>
  </si>
  <si>
    <t>3.1.</t>
  </si>
  <si>
    <t>Защита населения и территории от чрезвычайных ситуаций природного и техногенного характера, гражданская оборона</t>
  </si>
  <si>
    <t>3.1.2.</t>
  </si>
  <si>
    <t>3.1.2.1.</t>
  </si>
  <si>
    <t>Жилищно-коммунальное хозяйство</t>
  </si>
  <si>
    <t>Благоустройство</t>
  </si>
  <si>
    <t>5.1.1.</t>
  </si>
  <si>
    <t>5.1.1.1.</t>
  </si>
  <si>
    <t>Образование</t>
  </si>
  <si>
    <t>6.1.</t>
  </si>
  <si>
    <t>Повышение квалификации</t>
  </si>
  <si>
    <t>6.1.1.</t>
  </si>
  <si>
    <t>6.1.1.1.</t>
  </si>
  <si>
    <t>Культура, кинематография</t>
  </si>
  <si>
    <t>7.1.</t>
  </si>
  <si>
    <t>Культура</t>
  </si>
  <si>
    <t>7.1.1.</t>
  </si>
  <si>
    <t>Социальная политика</t>
  </si>
  <si>
    <t>8.1.</t>
  </si>
  <si>
    <t>Социальное обеспечение населения</t>
  </si>
  <si>
    <t>8.1.1.</t>
  </si>
  <si>
    <t>Охрана семьи и детства</t>
  </si>
  <si>
    <t>Физическая культура и спорт</t>
  </si>
  <si>
    <t>9.1.</t>
  </si>
  <si>
    <t>Массовый спорт</t>
  </si>
  <si>
    <t>9.1.1.</t>
  </si>
  <si>
    <t>9.1.1.1.</t>
  </si>
  <si>
    <t>Средства массовой информации</t>
  </si>
  <si>
    <t>Периодическая печать и издательство</t>
  </si>
  <si>
    <t>Итого</t>
  </si>
  <si>
    <t>№ пп</t>
  </si>
  <si>
    <t>Наименование статей</t>
  </si>
  <si>
    <t>Код ГРБС</t>
  </si>
  <si>
    <t>Код целевой статьи</t>
  </si>
  <si>
    <t>0102</t>
  </si>
  <si>
    <t>0100</t>
  </si>
  <si>
    <t>0103</t>
  </si>
  <si>
    <t xml:space="preserve"> </t>
  </si>
  <si>
    <t>0113</t>
  </si>
  <si>
    <t>0104</t>
  </si>
  <si>
    <t>0111</t>
  </si>
  <si>
    <t>0300</t>
  </si>
  <si>
    <t>0309</t>
  </si>
  <si>
    <t>0500</t>
  </si>
  <si>
    <t>0503</t>
  </si>
  <si>
    <t>0700</t>
  </si>
  <si>
    <t>0705</t>
  </si>
  <si>
    <t>0800</t>
  </si>
  <si>
    <t>0801</t>
  </si>
  <si>
    <t>2.2.1.</t>
  </si>
  <si>
    <t>2.1.4.</t>
  </si>
  <si>
    <t>2.1.4.1</t>
  </si>
  <si>
    <t>Исполнение судебных актов</t>
  </si>
  <si>
    <t>2.3.6.1</t>
  </si>
  <si>
    <t>Назначение выплат, перерасчет ежемесячной доплаты за стаж работы (службы) в ОМСУ к трудовой пенсии по старости, трудовой пенсии по инв., пенсии за выслугу лет лицам, замещавшим муниц. долж-ти, долж-ти муниц. службы в ОМСУ</t>
  </si>
  <si>
    <t>Социальныое обеспечение и иные выплаты населению</t>
  </si>
  <si>
    <t>2.3.8.</t>
  </si>
  <si>
    <t>Публичные нормативные социальные выплаты гражданам</t>
  </si>
  <si>
    <t>1.2.1.</t>
  </si>
  <si>
    <t>1.2.3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</si>
  <si>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</si>
  <si>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1.1.1.1</t>
  </si>
  <si>
    <t>1.2.1.1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</si>
  <si>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</si>
  <si>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</si>
  <si>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Иные выплаты населению</t>
  </si>
  <si>
    <t>Муниципальная программа «Учреждение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информации»</t>
  </si>
  <si>
    <t>Муниципальная программа «Проведение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действий»</t>
  </si>
  <si>
    <t>Муниципальная программа «Организация профессиональной подготовки, переподготовки и повышения квалификации, включая организацию профессионального образования и дополнительного профессионального образования муниципальных служащих Муниципального образования Муниципальный округ Черная речка».</t>
  </si>
  <si>
    <t>Муниципальная программа «Содержание муниципальной информационной службы»</t>
  </si>
  <si>
    <t>Муниципальная программа «Формирование архивных фондов органов местного самоуправления Муниципального образования Муниципальный округ Черная Речка».</t>
  </si>
  <si>
    <t>Муниципальная программа «Осуществление закупок товаров, работ  и услуг для муниципальных нужд»</t>
  </si>
  <si>
    <t>Муниципальная программа «Участие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внутригородского муниципального образования Санкт-Петербурга Муниципальный округ Черная речка»</t>
  </si>
  <si>
    <t>Муниципальная программа «Участие в деятельности по профилактике наркомании в Санкт-Петербурге в соответствии с законами Санкт-Петербурга»</t>
  </si>
  <si>
    <t>Муниципальная программа «Участие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внутригородского муниципального образования Санкт-Петербурга Муниципальный округ Черная речка»</t>
  </si>
  <si>
    <t>Муниципальная программа «Участие в деятельности по профилактике правонарушений в Санкт-Петербурге в формах и порядке, установленных законодательством Санкт-Петербурга»</t>
  </si>
  <si>
    <t>Муниципальная программа «Участие в реализации мер по профилактике дорожно-транспортного травматизма на территории внутригородского муниципального образования Санкт-Петербурга 
Муниципальный округ Черная речка»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</si>
  <si>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</si>
  <si>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«Организация и проведение досуговых мероприятий для жителей МО Черная речка»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</si>
  <si>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</si>
  <si>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</si>
  <si>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</si>
  <si>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Муниципальная программа «Обеспечение условий для развития на территории внутригородского муниципального образования Санкт-Петербурга Муниципальный округ Черная речка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образования»</t>
  </si>
  <si>
    <t>Муниципальная программа "Благоустройство придомовых территорий и дворовых территорий муниципального образования Санкт-Петербурга Муниципальный округ Черная речка"</t>
  </si>
  <si>
    <t>Муниципальная программа" Озеленение территорий муниципального образования Санкт-Петербурга Муниципальный округ Черная речка"</t>
  </si>
  <si>
    <t>Муниципальная программа "Прочие мероприятия в области благоустройства муниципального образования Санкт-Петербурга Муниципальный округ Черная речка"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</si>
  <si>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</si>
  <si>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2.3.9.</t>
  </si>
  <si>
    <t>4</t>
  </si>
  <si>
    <t>5</t>
  </si>
  <si>
    <t>4.1.</t>
  </si>
  <si>
    <t>4.1.1.</t>
  </si>
  <si>
    <t>4.1.1.1.</t>
  </si>
  <si>
    <t>4.1.2.</t>
  </si>
  <si>
    <t>4.1.2.1.</t>
  </si>
  <si>
    <t>4.1.3.</t>
  </si>
  <si>
    <t>4.1.3.1.</t>
  </si>
  <si>
    <t>4.1.4.</t>
  </si>
  <si>
    <t>4.1.4.1.</t>
  </si>
  <si>
    <t>4.1.5.</t>
  </si>
  <si>
    <t>4.1.5.1.</t>
  </si>
  <si>
    <t>4.1.6.</t>
  </si>
  <si>
    <t>4.1.6.1.</t>
  </si>
  <si>
    <t>6</t>
  </si>
  <si>
    <t>6.1.2.</t>
  </si>
  <si>
    <t>6.1.2.1.</t>
  </si>
  <si>
    <t>7</t>
  </si>
  <si>
    <t>7.1.1.1</t>
  </si>
  <si>
    <t>7.2.</t>
  </si>
  <si>
    <t>7.2.1.</t>
  </si>
  <si>
    <t>7.2.1.1</t>
  </si>
  <si>
    <t>7.2.2.</t>
  </si>
  <si>
    <t>7.2.2.1.</t>
  </si>
  <si>
    <t>8</t>
  </si>
  <si>
    <t>8.1.1.1.</t>
  </si>
  <si>
    <t>9</t>
  </si>
  <si>
    <t>3.1.1.</t>
  </si>
  <si>
    <t>Муниципальная программа «Содействие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ситуации»</t>
  </si>
  <si>
    <t>3.1.1.1.</t>
  </si>
  <si>
    <t>Муниципальная программа "Устройство искуственных дорожных неровностей на проездах и въездах на придомовых территориях и дворовых территориях муниципального образования Санкт-Петербурга Муниципальный округ Черная речка"</t>
  </si>
  <si>
    <t>Муниципальная программа "Содействие развитию малого бизнеса на территории муниципального образования Муниципальный округ Черная речка"</t>
  </si>
  <si>
    <t>5.1.</t>
  </si>
  <si>
    <t>0020000011</t>
  </si>
  <si>
    <t>0020000021</t>
  </si>
  <si>
    <t>0020000023</t>
  </si>
  <si>
    <t>0020000022</t>
  </si>
  <si>
    <t>0020000031</t>
  </si>
  <si>
    <t>0020000032</t>
  </si>
  <si>
    <t>0700000061</t>
  </si>
  <si>
    <t>7950000071</t>
  </si>
  <si>
    <t>7950000491</t>
  </si>
  <si>
    <t>7950000511</t>
  </si>
  <si>
    <t>7950000521</t>
  </si>
  <si>
    <t>7950000541</t>
  </si>
  <si>
    <t>7950000101</t>
  </si>
  <si>
    <t>3450000581</t>
  </si>
  <si>
    <t>2190000081</t>
  </si>
  <si>
    <t>2190000091</t>
  </si>
  <si>
    <t>6000000131</t>
  </si>
  <si>
    <t>6000000151</t>
  </si>
  <si>
    <t>6000000161</t>
  </si>
  <si>
    <t>6000000133</t>
  </si>
  <si>
    <t>7950000181</t>
  </si>
  <si>
    <t>4500000201</t>
  </si>
  <si>
    <t>4500000560</t>
  </si>
  <si>
    <t>0920000231</t>
  </si>
  <si>
    <t>4570000251</t>
  </si>
  <si>
    <t>3300000072</t>
  </si>
  <si>
    <t>Расходы на благоустройство территории муниципального образования, софинансируемые  за счет средств местного бюджета</t>
  </si>
  <si>
    <t>4.1.7.</t>
  </si>
  <si>
    <t>4.1.7.1.</t>
  </si>
  <si>
    <t>6000000134</t>
  </si>
  <si>
    <t xml:space="preserve">«Об утверждении местного бюджета МО Черная речка на 2016 год» </t>
  </si>
  <si>
    <t>Приложение 3</t>
  </si>
  <si>
    <t>Прочая закупка товаров, работ и услуг для обеспечения государственных (муниципальных) нужд</t>
  </si>
  <si>
    <t>Пособия, компенсации, меры социальной поддержки по публичным нормативным обязательствам</t>
  </si>
  <si>
    <t>Иные пенсии, социальные доплаты к пенсиям</t>
  </si>
  <si>
    <t>Закупка товаров, работ, услуг в сфере информационно-коммуникационных технологий</t>
  </si>
  <si>
    <t>Прочие расходы</t>
  </si>
  <si>
    <t>1.2.2.2.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</si>
  <si>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</si>
  <si>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Заработная плата</t>
  </si>
  <si>
    <t>Начисления на выплаты по оплате труда</t>
  </si>
  <si>
    <t>Прочие работы, услуги</t>
  </si>
  <si>
    <t xml:space="preserve"> Взносы по обязательному социальному страхованию
на выплаты денежного содержания и иные выплаты работникам государственных (муниципальных) органов</t>
  </si>
  <si>
    <t xml:space="preserve"> Фонд оплаты труда государственных (муниципальных) органов</t>
  </si>
  <si>
    <t>Услуги связи</t>
  </si>
  <si>
    <t>Коммунальные услуги</t>
  </si>
  <si>
    <t>Работы, услуги по содержанию имущества</t>
  </si>
  <si>
    <t>1.2.3.1.</t>
  </si>
  <si>
    <t>Уплата иных платежей</t>
  </si>
  <si>
    <t>Транспортные услуги</t>
  </si>
  <si>
    <t>Увеличение стоимости материальных запасов</t>
  </si>
  <si>
    <t>Увеличение стоимости основных средств</t>
  </si>
  <si>
    <t>Код раздела, подраздела</t>
  </si>
  <si>
    <t>Код вида расхода</t>
  </si>
  <si>
    <t xml:space="preserve"> Сумма, тыс. руб.</t>
  </si>
  <si>
    <t>Код КОСГУ</t>
  </si>
  <si>
    <t>2.1.2.3.</t>
  </si>
  <si>
    <t>2.</t>
  </si>
  <si>
    <t>2.1.3.</t>
  </si>
  <si>
    <t>2.1.3.1</t>
  </si>
  <si>
    <t>2.1.4.2.</t>
  </si>
  <si>
    <t>09200G0100</t>
  </si>
  <si>
    <t>00200G0850</t>
  </si>
  <si>
    <t>7950000531</t>
  </si>
  <si>
    <t>2.1.2.4.</t>
  </si>
  <si>
    <t>60000S1050</t>
  </si>
  <si>
    <t>60000M1050</t>
  </si>
  <si>
    <t xml:space="preserve">к Решению Муниципального Совета </t>
  </si>
  <si>
    <t>"О внесении изменений и дополнений в Решение Муниципального Совета от 23.11.15 № 31</t>
  </si>
  <si>
    <t xml:space="preserve">БЮДЖЕТА ВНУТРИГОРОДСКОГО МУНИЦИПАЛЬНОГО ОБРАЗОВАНИЯ САНКТ-ПЕТЕРБУРГА </t>
  </si>
  <si>
    <t>РАСПРЕДЕЛЕНИЕ БЮДЖЕТНЫХ АССИГНОВАНИЙ</t>
  </si>
  <si>
    <t>по разделам, подразделам, целевым статьям, группам (группам, подгруппам) и видов расходов</t>
  </si>
  <si>
    <t>МУНИЦИПАЛЬНЫЙ ОКРУГ ЧЕРНАЯ РЕЧКА</t>
  </si>
  <si>
    <t xml:space="preserve"> НА 2016 ГОД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</si>
  <si>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</si>
  <si>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Пенсии, пособия, выплачиваемые организациями сектора государственного управления</t>
  </si>
  <si>
    <t>Муниципальная программа "Участие в пределах своей компетенции в обеспечении чистоты и порядка на территории муниципального образования Санкт-Петербурга Муниципальный округ Черная речка"</t>
  </si>
  <si>
    <t>Расходы на благоустройство территории муниципального образования,  за счет субсидии из бюджета Санкт-Петербурга</t>
  </si>
  <si>
    <t>51100G0860</t>
  </si>
  <si>
    <t>51100G0870</t>
  </si>
  <si>
    <t>Арендная плата за пользование имуществом</t>
  </si>
  <si>
    <t>5120000241</t>
  </si>
  <si>
    <t>Прочие выплаты</t>
  </si>
  <si>
    <t>Иные выплаты персоналу государственных (муниципальных)
органов, за исключением фонда оплаты труда</t>
  </si>
  <si>
    <t>!</t>
  </si>
  <si>
    <t>Уплата налога на имущество организаций и земельного налога</t>
  </si>
  <si>
    <t>6000000135</t>
  </si>
  <si>
    <t xml:space="preserve">Фонд оплаты труда учреждений
</t>
  </si>
  <si>
    <t>3300000073</t>
  </si>
  <si>
    <t>4.1.8.1</t>
  </si>
  <si>
    <t xml:space="preserve">Расходы на выплаты персоналу казенных учреждений
</t>
  </si>
  <si>
    <t xml:space="preserve">Взносы по обязательному социальному страхованию на выплаты по оплате труда работников и иные выплаты работникам учреждений
</t>
  </si>
  <si>
    <t>Расходы МКУ «Черная речка» на осуществление благоустройства территории</t>
  </si>
  <si>
    <t>Расходы МКУ «Черная речка» на осуществление функций муниципальной информационной службы</t>
  </si>
  <si>
    <t>Приложение 2</t>
  </si>
  <si>
    <t>Главный распорядитель средств местного бюджета - Муниципальный Совет Муниципального округа Черная речка (928)</t>
  </si>
  <si>
    <t>Главный распорядитель средств местного бюджета - Местная Администрация Муниципального округа Черная речка (966)</t>
  </si>
  <si>
    <t xml:space="preserve">Финансирование непредвиденных расходов из средств резервного фонда на проведение аварийно-восстановительных работ в области благоустройства </t>
  </si>
  <si>
    <t>ИТОГО ДОХОДОВ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</si>
  <si>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</si>
  <si>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966 2 19 03000 03 0000 151</t>
  </si>
  <si>
    <t>ВОЗВРАТ ОСТАТКОВ СУБСИДИЙ, СУБВЕНЦИЙ И ИНЫХ МЕЖБЮДЖЕТНЫХ ТРАНСФЕРТОВ, ИМЕЮЩИХ ЦЕЛЕВОЕ НАЗНАЧЕНИЕ ПРОШЛЫХ ЛЕТ</t>
  </si>
  <si>
    <t>000 2 19 00000 00 0000 100</t>
  </si>
  <si>
    <t>Доходы бюджетов внутригородских муниципальных образований городов федерального значения от возврата иными организациями остатков субсидий прошлых лет</t>
  </si>
  <si>
    <t>966 2 18 03030 03 0000 180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</si>
  <si>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ИНЫХМЕЖБЮДЖЕТНЫХ ТРАНСФЕРТОВ, ИМЕЮЩИХ ЦЕЛЕВОЕ НАЗНАЧЕНИЕ, ПРОШЛЫХ ЛЕТ</t>
  </si>
  <si>
    <t>000 2 18 00000 00 0000 000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</si>
  <si>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</si>
  <si>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966 2 08 03000 03 0000 180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</si>
  <si>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</si>
  <si>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</si>
  <si>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выплате денежных средств на вознаграждение приемным родителям</t>
  </si>
  <si>
    <t>966 2 02 03027 03 0200 151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</si>
  <si>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выплате денежных средств на содержание ребенка в семье опекуна и приемной семье</t>
  </si>
  <si>
    <t>966 2 02 03027 03 0100 151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</si>
  <si>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</si>
  <si>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966 2 02 03024 03 0200 151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</si>
  <si>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</si>
  <si>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966 2 02 03024 03 0100 151</t>
  </si>
  <si>
    <t>Прочие субсидии бюджетам внутригородских муниципальных образований городов федерального значения</t>
  </si>
  <si>
    <t>966 2 02 02999 03 0000 151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</si>
  <si>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</si>
  <si>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</si>
  <si>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</si>
  <si>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</si>
  <si>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II</t>
  </si>
  <si>
    <t>Возврат средств, полученных  и  не  использованных учреждениями и организациями в прошлые годы</t>
  </si>
  <si>
    <t>966 1 17 05030 03 0200 180</t>
  </si>
  <si>
    <t>966 1 17 05030 03 0100 180</t>
  </si>
  <si>
    <t>Прочие неналоговые доходы</t>
  </si>
  <si>
    <t>000 1 17 05000 00 0000 180</t>
  </si>
  <si>
    <t>8.2.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</si>
  <si>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</si>
  <si>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966 1 17 01030 03 0000 180</t>
  </si>
  <si>
    <t>Невыясненные поступления</t>
  </si>
  <si>
    <t>000 1 17 01000 00 0000 180</t>
  </si>
  <si>
    <t>ПРОЧИЕ НЕНАЛОГОВЫЕ ДОХОДЫ</t>
  </si>
  <si>
    <t>000 1 17 00000 00 0000 000</t>
  </si>
  <si>
    <t>8.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</si>
  <si>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</si>
  <si>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860 1 16 90030 03 0200 140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</si>
  <si>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</si>
  <si>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807 1 16 90030 03 0200 140</t>
  </si>
  <si>
    <t>860 1 16 90030 03 0100 140</t>
  </si>
  <si>
    <t>806 1 16 90030 03 0100 140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</si>
  <si>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</si>
  <si>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000 1 16 90030 03 0000 140</t>
  </si>
  <si>
    <t>Прочие поступления от денежных взысканий (штрафов) и иных сумм в возмещение ущерба</t>
  </si>
  <si>
    <t>000 1 16 90000 00 0000 140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</si>
  <si>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</si>
  <si>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</si>
  <si>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ШТРАФЫ, САНКЦИИ, ВОЗМЕЩЕНИЕ УЩЕРБА</t>
  </si>
  <si>
    <t>000 1 16 00000 00 0000 000</t>
  </si>
  <si>
    <t>7.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</si>
  <si>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</si>
  <si>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966 1 14 02032 03 0000 440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</si>
  <si>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</si>
  <si>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000 1 14 02030 03 0000 440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</si>
  <si>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</si>
  <si>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966 1 14 02032 03 0000 410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</si>
  <si>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</si>
  <si>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000 1 14 02030 03 0000 410</t>
  </si>
  <si>
    <t>Доходы от реализации имущества, находящейся в государственной и муниципальной собственности</t>
  </si>
  <si>
    <t>000 1 14 02000 00 0000 100</t>
  </si>
  <si>
    <t>ДОХОДЫ ОТ ПРОДАЖИ МАТЕРИАЛЬНЫХ И НЕМАТЕРИАЛЬНЫХ АКТИВОВ</t>
  </si>
  <si>
    <t>000 1 14 00000 00 0000 000</t>
  </si>
  <si>
    <t>6.</t>
  </si>
  <si>
    <t>Другие виды прочих доходов от компенсации затрат бюджетов внутригородских муниципальных образований  Санкт-Петербурга</t>
  </si>
  <si>
    <t>966 1 13 02993 03 0200 130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</si>
  <si>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</si>
  <si>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</si>
  <si>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</si>
  <si>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000 1 13 02993 03 0000 130</t>
  </si>
  <si>
    <t>Прочие доходы от компенсации затрат государства</t>
  </si>
  <si>
    <t>000 1 13 02990 00 0000 130</t>
  </si>
  <si>
    <t>ДОХОДЫ ОТ ОКАЗАНИЯ ПЛАТНЫХ УСЛУГ (РАБОТ)  И КОМПЕНСАЦИИ ЗАТРАТ ГОСУДАРСТВА</t>
  </si>
  <si>
    <t>000 1 13 00000 00 0000 000</t>
  </si>
  <si>
    <t>5.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</si>
  <si>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</si>
  <si>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966 1 11 07013 03 0000 120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</si>
  <si>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</si>
  <si>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</si>
  <si>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4.4.</t>
  </si>
  <si>
    <t>Доходы от сдачи в аренду имущества, находящегося в оперативном управлении органов управления внутригородских муниципальных образований городов федерального значения и созданных ими учреждений (за исключением имущества муниципальных бюджетных и автономных учреждений)</t>
  </si>
  <si>
    <t>966 1 11 05033 03 0000 120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</si>
  <si>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</si>
  <si>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</si>
  <si>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</si>
  <si>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</si>
  <si>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4.3.</t>
  </si>
  <si>
    <t>Проценты, полученные от предоставления бюджетных кредитов внутри страны за счет средств бюджетов внутригородских муниципальных образований городов федерального значения</t>
  </si>
  <si>
    <t>966 1 11 03030 03 0000 120</t>
  </si>
  <si>
    <t>Проценты, полученные от предоставления бюджетных кредитов внутри страны</t>
  </si>
  <si>
    <t>000 1 11 03000 00 0000 120</t>
  </si>
  <si>
    <t>4.2.</t>
  </si>
  <si>
    <t>Доходы от размещения временно свободных средств бюджетов внутригородских муниципальных образований городов федерального значения</t>
  </si>
  <si>
    <t>966 1 11 02031 03 0000 120</t>
  </si>
  <si>
    <t>Доходы от размещения средств бюджетов</t>
  </si>
  <si>
    <t>000 1 11 02000 00 0000 120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</si>
  <si>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</si>
  <si>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</si>
  <si>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4.</t>
  </si>
  <si>
    <t>Налог с имущества, переходящего в порядке наследования или дарения</t>
  </si>
  <si>
    <t>182 1 09 04040 01 0000 110</t>
  </si>
  <si>
    <t>Налоги на имущество</t>
  </si>
  <si>
    <t>000 1 09 04000 00 0000 110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</si>
  <si>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</si>
  <si>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</si>
  <si>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</si>
  <si>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182 1 06 01010 03 0000 110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</si>
  <si>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</si>
  <si>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</si>
  <si>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</si>
  <si>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</si>
  <si>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</si>
  <si>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182 1 05 04030 02 0000 110</t>
  </si>
  <si>
    <t>Налог, взимаемый в связи с применением патентной системы налогообложения</t>
  </si>
  <si>
    <t>000 1 05 04000 02 0000 110</t>
  </si>
  <si>
    <t>1.3.</t>
  </si>
  <si>
    <t>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</si>
  <si>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</si>
  <si>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>Единый налог на вмененный доход для отдельных видов деятельности</t>
  </si>
  <si>
    <t>182 1 05 02010 02 0000 110</t>
  </si>
  <si>
    <t>000 1 05 02000 02 0000 110</t>
  </si>
  <si>
    <t>Минимальный налог, зачисляемый в бюджеты субъектов Российской Федерации</t>
  </si>
  <si>
    <t>182 1 05 01050 01 0000 110</t>
  </si>
  <si>
    <t>1.1.3.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</si>
  <si>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</si>
  <si>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</si>
  <si>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</si>
  <si>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</si>
  <si>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000 1 05 01020 01 0000 110</t>
  </si>
  <si>
    <t>1.1.2.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</si>
  <si>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</si>
  <si>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</si>
  <si>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</si>
  <si>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</si>
  <si>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000 1 05 01010 01 0000 110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</si>
  <si>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</si>
  <si>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</si>
  <si>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</si>
  <si>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</si>
  <si>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НАЛОГОВЫЕ И НЕНАЛОГОВЫЕ ДОХОДЫ</t>
  </si>
  <si>
    <t>000 1 00 00000 00 0000 000</t>
  </si>
  <si>
    <t>I</t>
  </si>
  <si>
    <t>Источники доходов</t>
  </si>
  <si>
    <t>Код статьи</t>
  </si>
  <si>
    <t>№ п/п</t>
  </si>
  <si>
    <t>Приложение 1</t>
  </si>
  <si>
    <t>Иные выплаты персоналу учреждений, за исключением фонда
оплаты труда</t>
  </si>
  <si>
    <t>Социальные выплаты гражданам, кроме публичных
нормативных социальных выплат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</si>
  <si>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</si>
  <si>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1101</t>
  </si>
  <si>
    <t>Физическая культура</t>
  </si>
  <si>
    <t>2.3.5.1</t>
  </si>
  <si>
    <t xml:space="preserve">2.3.8.1. </t>
  </si>
  <si>
    <t>2.3.9.1</t>
  </si>
  <si>
    <t>4.1.7</t>
  </si>
  <si>
    <t>4.1.7.1</t>
  </si>
  <si>
    <t>4.1.7.2.</t>
  </si>
  <si>
    <t>4.1.8.</t>
  </si>
  <si>
    <t>8.2.1.</t>
  </si>
  <si>
    <t>8.2.1.1.</t>
  </si>
  <si>
    <t>Код бюджетной классификации Российской Федерации</t>
  </si>
  <si>
    <t>Наименование</t>
  </si>
  <si>
    <t>01 05 00 00 00 0000 000</t>
  </si>
  <si>
    <t>Изменение остатков средств на счетах по учету средств бюджетов</t>
  </si>
  <si>
    <t xml:space="preserve">01 05 00 00 00 0000 500 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</si>
  <si>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</si>
  <si>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</si>
  <si>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</si>
  <si>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 xml:space="preserve">01 05 02 01 00 0000 510 </t>
  </si>
  <si>
    <t>Увеличение прочих остатков денежных средств бюджетов</t>
  </si>
  <si>
    <t>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</si>
  <si>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</si>
  <si>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</si>
  <si>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</si>
  <si>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</si>
  <si>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</si>
  <si>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 xml:space="preserve">01 05 02 01 00 0000 610  </t>
  </si>
  <si>
    <t>Уменьшение прочих остатков денежных средств бюджетов</t>
  </si>
  <si>
    <t>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</si>
  <si>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</si>
  <si>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№ 49 от 05.12.2016 г.</t>
  </si>
  <si>
    <t>Социальное обеспечение и иные выплаты населению</t>
  </si>
  <si>
    <t>Код администратора источника внутреннего финансирования дефицита бюджета</t>
  </si>
  <si>
    <t>ИСТОЧНИКИ ФИНАНСИРОВАНИЯ ДЕФИЦИТА БЮДЖЕТА ВНУТРИГОРОДСКОГО МУНИЦИПАЛЬНОГО ОБРАЗОВАНИЯ САНКТ-ПЕТЕРБУРГА МУНИЦИПАЛЬНЫЙ ОКРУГ ЧЕРНАЯ РЕЧКА НА 2016 ГОД</t>
  </si>
  <si>
    <t>План, тыс.руб.</t>
  </si>
  <si>
    <t>Исполнение тыс.руб.</t>
  </si>
  <si>
    <t>% исполнения</t>
  </si>
  <si>
    <t>824 1 16 90030 03 0100 140</t>
  </si>
  <si>
    <t>966 1 16 90030 03 0400 140</t>
  </si>
  <si>
    <t>Денежные средства от уплаты поставщиком (подрядчиком, исполнителем) неустойки (штрафа, пени) за неисполнение или ненадлежащее исполнение им условий гаржданско-правовой сделки</t>
  </si>
  <si>
    <t xml:space="preserve">ПОКАЗАТЕЛИ ПО ДОХОДАМ </t>
  </si>
  <si>
    <t>ПО КОДАМ КЛАССИФИКАЦИИ ДОХОДОВ БЮДЖЕТА НА 2016 ГОД</t>
  </si>
  <si>
    <t>внутригородского муниципальньго образования Санкт-Петербурга</t>
  </si>
  <si>
    <t>-</t>
  </si>
  <si>
    <t>2.2.2.</t>
  </si>
  <si>
    <t>2.2.2.1.</t>
  </si>
  <si>
    <t>2.2.3.</t>
  </si>
  <si>
    <t>2.2.3.1.</t>
  </si>
  <si>
    <t>2.2.4.</t>
  </si>
  <si>
    <t>2.2.4.1.</t>
  </si>
  <si>
    <t>2.2.5.</t>
  </si>
  <si>
    <t>2.2.5.1</t>
  </si>
  <si>
    <t>2.2.6.</t>
  </si>
  <si>
    <t>2.2.6.1</t>
  </si>
  <si>
    <t>2.2.7.</t>
  </si>
  <si>
    <t>2.2.7.1</t>
  </si>
  <si>
    <t>2.2.8.</t>
  </si>
  <si>
    <t xml:space="preserve">2.2.8.1. </t>
  </si>
  <si>
    <t>2.2.9.</t>
  </si>
  <si>
    <t>2.2.9.1</t>
  </si>
  <si>
    <r>
      <t xml:space="preserve">         </t>
    </r>
    <r>
      <rPr>
        <b/>
        <sz val="10"/>
        <rFont val="Times New Roman"/>
        <family val="1"/>
      </rPr>
      <t xml:space="preserve">               ПО ВЕДОМСТВЕННОЙ СТРУКТУРЕ РАСХОДОВ </t>
    </r>
  </si>
  <si>
    <t xml:space="preserve">ПОКАЗАТЕЛИ ПО РАСХОДАМ БЮДЖЕТА ВНУТРИГОРОДСКОГО МУНИЦИПАЛЬНОГО ОБРАЗОВАНИЯ </t>
  </si>
  <si>
    <t xml:space="preserve"> МУНИЦИПАЛЬНОГО ОБРАЗОВАНИЯ САНКТ-ПЕТЕРБУРГА МУНИЦИПАЛЬНЫЙ ОКРУГ </t>
  </si>
  <si>
    <t>ЧЕРНАЯ РЕЧКА НА 2016 ГОД</t>
  </si>
  <si>
    <t>Раздел</t>
  </si>
  <si>
    <t>Подраздел</t>
  </si>
  <si>
    <t>00</t>
  </si>
  <si>
    <t>02</t>
  </si>
  <si>
    <t>03</t>
  </si>
  <si>
    <t>04</t>
  </si>
  <si>
    <t>13</t>
  </si>
  <si>
    <t xml:space="preserve"> Плановая сумма, тыс. руб.</t>
  </si>
  <si>
    <t>Исполненная сумма тыс.руб.</t>
  </si>
  <si>
    <t>%      исполнения</t>
  </si>
  <si>
    <t>% Исполнения</t>
  </si>
  <si>
    <t>05</t>
  </si>
  <si>
    <t>07</t>
  </si>
  <si>
    <t>08</t>
  </si>
  <si>
    <t>10</t>
  </si>
  <si>
    <t>09</t>
  </si>
  <si>
    <t>01</t>
  </si>
  <si>
    <t xml:space="preserve">ПОКАЗАТЕЛИ ПО РАСХОДАМ БЮДЖЕТА ВНУТРИГОРОДСКОГО МУНИЦИПАЛЬНОГО </t>
  </si>
  <si>
    <t xml:space="preserve">ОБРАЗОВАНИЯ САНКТ-ПЕТЕРБУРГА МУНИЦИПАЛЬНЫЙ ОКРУГ </t>
  </si>
  <si>
    <t>Плановая сумма тыс.руб</t>
  </si>
  <si>
    <t>Исполненная сумма тыс.руб</t>
  </si>
  <si>
    <t>Приложение № 3</t>
  </si>
  <si>
    <t>"Об утверждении отчета об исполнении бюджета внутригородского муниципального образования Санкт-петербурга муниципальный округ Черная речка за 2016 год"</t>
  </si>
  <si>
    <t>"Об утверждении отчета об  исполнении бюджета внутригородского муниципального образования                                                                                                                Санкт-петербурга муниципальный округ Черная речка за 2016 год"</t>
  </si>
  <si>
    <t>"Об утвержднии отчета об исполнении бюджета внутригородского муниципального образования Санкт-петербурга муниципальный округ Черная речка за 2016 год"</t>
  </si>
  <si>
    <t xml:space="preserve">муниципальный округ Черная речка № 10 от 01.06.2017 г. </t>
  </si>
  <si>
    <t xml:space="preserve">Приложение №4
К Решению Мунициплаьного Совета внутригородского муниципальньго образования Санкт-Петербурга муниципальный округ Черная речка № 10 от 01.06.2017 г.  "Об утверждении отчета об исполнении бюджета внутригородского муниципального образования Санкт-петербурга муниципальный округ Черная речка за 2016 год"
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</si>
</sst>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  <numFmt numFmtId="179" formatCode="#,##0.00\ _₽"/>
    <numFmt numFmtId="180" formatCode="0.0000000"/>
    <numFmt numFmtId="181" formatCode="0.000000"/>
    <numFmt numFmtId="182" formatCode="0.00000"/>
    <numFmt numFmtId="183" formatCode="0.0000"/>
    <numFmt numFmtId="184" formatCode="#,##0.0"/>
    <numFmt numFmtId="185" formatCode="0.00000000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_р_._-;\-* #,##0.0_р_._-;_-* &quot;-&quot;??_р_._-;_-@_-"/>
    <numFmt numFmtId="189" formatCode="_-* #,##0_р_._-;\-* #,##0_р_._-;_-* &quot;-&quot;??_р_._-;_-@_-"/>
  </numFmts>
  <fonts count="63">
    <font>
      <sz val="10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8"/>
      <color indexed="63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0"/>
      <name val="Times New Roman"/>
      <family val="1"/>
    </font>
    <font>
      <sz val="11"/>
      <color indexed="8"/>
      <name val="Times New Roman"/>
      <family val="1"/>
    </font>
    <font>
      <b/>
      <i/>
      <sz val="8"/>
      <color indexed="60"/>
      <name val="Times New Roman"/>
      <family val="1"/>
    </font>
    <font>
      <sz val="8"/>
      <color indexed="8"/>
      <name val="Times New Roman"/>
      <family val="1"/>
    </font>
    <font>
      <sz val="10"/>
      <color indexed="60"/>
      <name val="Arial Cyr"/>
      <family val="0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i/>
      <sz val="8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C00000"/>
      <name val="Times New Roman"/>
      <family val="1"/>
    </font>
    <font>
      <sz val="11"/>
      <color theme="1"/>
      <name val="Times New Roman"/>
      <family val="1"/>
    </font>
    <font>
      <b/>
      <i/>
      <sz val="8"/>
      <color rgb="FFC00000"/>
      <name val="Times New Roman"/>
      <family val="1"/>
    </font>
    <font>
      <sz val="8"/>
      <color theme="1"/>
      <name val="Times New Roman"/>
      <family val="1"/>
    </font>
    <font>
      <sz val="10"/>
      <color rgb="FFC00000"/>
      <name val="Arial Cyr"/>
      <family val="0"/>
    </font>
    <font>
      <sz val="8"/>
      <color rgb="FFFF0000"/>
      <name val="Times New Roman"/>
      <family val="1"/>
    </font>
    <font>
      <sz val="10"/>
      <color theme="1"/>
      <name val="Times New Roman"/>
      <family val="1"/>
    </font>
    <font>
      <i/>
      <sz val="8"/>
      <color rgb="FFC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6" fontId="8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4" fillId="12" borderId="13" xfId="0" applyNumberFormat="1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left" vertical="center" wrapText="1"/>
    </xf>
    <xf numFmtId="0" fontId="4" fillId="12" borderId="14" xfId="0" applyFont="1" applyFill="1" applyBorder="1" applyAlignment="1">
      <alignment horizontal="center" vertical="center" wrapText="1"/>
    </xf>
    <xf numFmtId="49" fontId="4" fillId="12" borderId="14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4" fillId="34" borderId="15" xfId="0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6" fontId="4" fillId="12" borderId="20" xfId="0" applyNumberFormat="1" applyFont="1" applyFill="1" applyBorder="1" applyAlignment="1">
      <alignment horizontal="center" vertical="center" wrapText="1"/>
    </xf>
    <xf numFmtId="0" fontId="9" fillId="12" borderId="14" xfId="0" applyFont="1" applyFill="1" applyBorder="1" applyAlignment="1">
      <alignment wrapText="1"/>
    </xf>
    <xf numFmtId="49" fontId="4" fillId="12" borderId="21" xfId="0" applyNumberFormat="1" applyFont="1" applyFill="1" applyBorder="1" applyAlignment="1">
      <alignment horizontal="center" vertical="center" wrapText="1"/>
    </xf>
    <xf numFmtId="0" fontId="4" fillId="12" borderId="19" xfId="0" applyFont="1" applyFill="1" applyBorder="1" applyAlignment="1">
      <alignment horizontal="left" vertical="center" wrapText="1"/>
    </xf>
    <xf numFmtId="0" fontId="4" fillId="12" borderId="19" xfId="0" applyFont="1" applyFill="1" applyBorder="1" applyAlignment="1">
      <alignment horizontal="center" vertical="center" wrapText="1"/>
    </xf>
    <xf numFmtId="49" fontId="4" fillId="12" borderId="19" xfId="0" applyNumberFormat="1" applyFont="1" applyFill="1" applyBorder="1" applyAlignment="1">
      <alignment horizontal="center" vertical="center" wrapText="1"/>
    </xf>
    <xf numFmtId="176" fontId="4" fillId="12" borderId="22" xfId="0" applyNumberFormat="1" applyFont="1" applyFill="1" applyBorder="1" applyAlignment="1">
      <alignment horizontal="center" vertical="center" wrapText="1"/>
    </xf>
    <xf numFmtId="49" fontId="4" fillId="9" borderId="13" xfId="0" applyNumberFormat="1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left" vertical="center" wrapText="1"/>
    </xf>
    <xf numFmtId="0" fontId="4" fillId="9" borderId="14" xfId="0" applyFont="1" applyFill="1" applyBorder="1" applyAlignment="1">
      <alignment horizontal="center" vertical="center" wrapText="1"/>
    </xf>
    <xf numFmtId="49" fontId="4" fillId="9" borderId="14" xfId="0" applyNumberFormat="1" applyFont="1" applyFill="1" applyBorder="1" applyAlignment="1">
      <alignment horizontal="center" vertical="center" wrapText="1"/>
    </xf>
    <xf numFmtId="176" fontId="4" fillId="9" borderId="20" xfId="0" applyNumberFormat="1" applyFont="1" applyFill="1" applyBorder="1" applyAlignment="1">
      <alignment horizontal="center" vertical="center" wrapText="1"/>
    </xf>
    <xf numFmtId="0" fontId="4" fillId="12" borderId="23" xfId="0" applyFont="1" applyFill="1" applyBorder="1" applyAlignment="1">
      <alignment vertical="center"/>
    </xf>
    <xf numFmtId="49" fontId="2" fillId="35" borderId="13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center" vertical="center" wrapText="1"/>
    </xf>
    <xf numFmtId="49" fontId="2" fillId="35" borderId="14" xfId="0" applyNumberFormat="1" applyFont="1" applyFill="1" applyBorder="1" applyAlignment="1">
      <alignment horizontal="center" vertical="center" wrapText="1"/>
    </xf>
    <xf numFmtId="176" fontId="2" fillId="35" borderId="20" xfId="0" applyNumberFormat="1" applyFont="1" applyFill="1" applyBorder="1" applyAlignment="1">
      <alignment horizontal="center" vertical="center" wrapText="1"/>
    </xf>
    <xf numFmtId="49" fontId="3" fillId="9" borderId="13" xfId="0" applyNumberFormat="1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49" fontId="3" fillId="9" borderId="14" xfId="0" applyNumberFormat="1" applyFont="1" applyFill="1" applyBorder="1" applyAlignment="1">
      <alignment horizontal="center" vertical="center" wrapText="1"/>
    </xf>
    <xf numFmtId="176" fontId="3" fillId="9" borderId="20" xfId="0" applyNumberFormat="1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left" vertical="center" wrapText="1"/>
    </xf>
    <xf numFmtId="49" fontId="4" fillId="12" borderId="14" xfId="0" applyNumberFormat="1" applyFont="1" applyFill="1" applyBorder="1" applyAlignment="1">
      <alignment horizontal="left" vertical="center" wrapText="1"/>
    </xf>
    <xf numFmtId="49" fontId="4" fillId="12" borderId="10" xfId="0" applyNumberFormat="1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left" vertical="center" wrapText="1"/>
    </xf>
    <xf numFmtId="0" fontId="4" fillId="12" borderId="10" xfId="0" applyFont="1" applyFill="1" applyBorder="1" applyAlignment="1">
      <alignment horizontal="center" vertical="center" wrapText="1"/>
    </xf>
    <xf numFmtId="176" fontId="4" fillId="12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176" fontId="2" fillId="35" borderId="10" xfId="0" applyNumberFormat="1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left" vertical="center" wrapText="1"/>
    </xf>
    <xf numFmtId="0" fontId="2" fillId="35" borderId="19" xfId="0" applyFont="1" applyFill="1" applyBorder="1" applyAlignment="1">
      <alignment horizontal="center" vertical="center" wrapText="1"/>
    </xf>
    <xf numFmtId="49" fontId="2" fillId="35" borderId="19" xfId="0" applyNumberFormat="1" applyFont="1" applyFill="1" applyBorder="1" applyAlignment="1">
      <alignment horizontal="center" vertical="center" wrapText="1"/>
    </xf>
    <xf numFmtId="176" fontId="2" fillId="35" borderId="22" xfId="0" applyNumberFormat="1" applyFont="1" applyFill="1" applyBorder="1" applyAlignment="1">
      <alignment horizontal="center" vertical="center" wrapText="1"/>
    </xf>
    <xf numFmtId="49" fontId="4" fillId="9" borderId="10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center" vertical="center" wrapText="1"/>
    </xf>
    <xf numFmtId="176" fontId="4" fillId="9" borderId="10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2" xfId="0" applyNumberFormat="1" applyFont="1" applyBorder="1" applyAlignment="1">
      <alignment horizontal="left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34" borderId="12" xfId="0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10" fillId="0" borderId="0" xfId="53" applyFont="1" applyAlignment="1">
      <alignment horizontal="right"/>
      <protection/>
    </xf>
    <xf numFmtId="0" fontId="56" fillId="0" borderId="0" xfId="0" applyFont="1" applyAlignment="1">
      <alignment horizontal="right"/>
    </xf>
    <xf numFmtId="0" fontId="1" fillId="0" borderId="0" xfId="53" applyFont="1">
      <alignment/>
      <protection/>
    </xf>
    <xf numFmtId="0" fontId="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53" applyFont="1" applyAlignment="1">
      <alignment horizontal="center"/>
      <protection/>
    </xf>
    <xf numFmtId="0" fontId="1" fillId="0" borderId="0" xfId="53" applyFont="1" applyBorder="1">
      <alignment/>
      <protection/>
    </xf>
    <xf numFmtId="0" fontId="1" fillId="0" borderId="0" xfId="0" applyFont="1" applyBorder="1" applyAlignment="1">
      <alignment horizontal="left" vertical="center"/>
    </xf>
    <xf numFmtId="0" fontId="5" fillId="3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53" applyFont="1" applyBorder="1" applyAlignment="1">
      <alignment/>
      <protection/>
    </xf>
    <xf numFmtId="0" fontId="1" fillId="0" borderId="0" xfId="0" applyFont="1" applyBorder="1" applyAlignment="1">
      <alignment/>
    </xf>
    <xf numFmtId="176" fontId="4" fillId="34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4" fillId="34" borderId="12" xfId="0" applyFont="1" applyFill="1" applyBorder="1" applyAlignment="1">
      <alignment horizontal="left" vertical="center" wrapText="1"/>
    </xf>
    <xf numFmtId="0" fontId="4" fillId="12" borderId="12" xfId="0" applyFont="1" applyFill="1" applyBorder="1" applyAlignment="1">
      <alignment horizontal="left" vertical="center" wrapText="1"/>
    </xf>
    <xf numFmtId="49" fontId="4" fillId="12" borderId="25" xfId="0" applyNumberFormat="1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49" fontId="4" fillId="12" borderId="12" xfId="0" applyNumberFormat="1" applyFont="1" applyFill="1" applyBorder="1" applyAlignment="1">
      <alignment horizontal="center" vertical="center" wrapText="1"/>
    </xf>
    <xf numFmtId="176" fontId="4" fillId="12" borderId="26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right" vertical="center"/>
    </xf>
    <xf numFmtId="49" fontId="12" fillId="36" borderId="13" xfId="0" applyNumberFormat="1" applyFont="1" applyFill="1" applyBorder="1" applyAlignment="1">
      <alignment horizontal="center" vertical="center" wrapText="1"/>
    </xf>
    <xf numFmtId="0" fontId="12" fillId="36" borderId="14" xfId="0" applyFont="1" applyFill="1" applyBorder="1" applyAlignment="1">
      <alignment horizontal="center" vertical="center" wrapText="1"/>
    </xf>
    <xf numFmtId="49" fontId="12" fillId="36" borderId="1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2" fillId="36" borderId="14" xfId="0" applyFont="1" applyFill="1" applyBorder="1" applyAlignment="1">
      <alignment horizontal="left" vertical="center" wrapText="1"/>
    </xf>
    <xf numFmtId="176" fontId="57" fillId="36" borderId="2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" fillId="0" borderId="0" xfId="53" applyFont="1" applyAlignment="1">
      <alignment horizontal="center"/>
      <protection/>
    </xf>
    <xf numFmtId="0" fontId="1" fillId="0" borderId="0" xfId="53" applyFont="1" applyAlignment="1">
      <alignment/>
      <protection/>
    </xf>
    <xf numFmtId="0" fontId="4" fillId="34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27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76" fontId="58" fillId="0" borderId="10" xfId="0" applyNumberFormat="1" applyFont="1" applyFill="1" applyBorder="1" applyAlignment="1">
      <alignment horizontal="center" vertical="center" wrapText="1"/>
    </xf>
    <xf numFmtId="176" fontId="58" fillId="0" borderId="11" xfId="0" applyNumberFormat="1" applyFont="1" applyFill="1" applyBorder="1" applyAlignment="1">
      <alignment horizontal="center" vertical="center" wrapText="1"/>
    </xf>
    <xf numFmtId="176" fontId="58" fillId="0" borderId="12" xfId="0" applyNumberFormat="1" applyFont="1" applyFill="1" applyBorder="1" applyAlignment="1">
      <alignment horizontal="center" vertical="center" wrapText="1"/>
    </xf>
    <xf numFmtId="0" fontId="55" fillId="12" borderId="14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33" borderId="19" xfId="0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176" fontId="58" fillId="0" borderId="27" xfId="0" applyNumberFormat="1" applyFont="1" applyFill="1" applyBorder="1" applyAlignment="1">
      <alignment horizontal="center" vertical="center" wrapText="1"/>
    </xf>
    <xf numFmtId="49" fontId="4" fillId="33" borderId="29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4" fillId="34" borderId="12" xfId="0" applyFont="1" applyFill="1" applyBorder="1" applyAlignment="1">
      <alignment vertical="center" wrapText="1"/>
    </xf>
    <xf numFmtId="49" fontId="12" fillId="36" borderId="21" xfId="0" applyNumberFormat="1" applyFont="1" applyFill="1" applyBorder="1" applyAlignment="1">
      <alignment horizontal="center" vertical="center" wrapText="1"/>
    </xf>
    <xf numFmtId="49" fontId="12" fillId="36" borderId="19" xfId="0" applyNumberFormat="1" applyFont="1" applyFill="1" applyBorder="1" applyAlignment="1">
      <alignment horizontal="left" vertical="center" wrapText="1"/>
    </xf>
    <xf numFmtId="0" fontId="12" fillId="36" borderId="19" xfId="0" applyFont="1" applyFill="1" applyBorder="1" applyAlignment="1">
      <alignment horizontal="center" vertical="center" wrapText="1"/>
    </xf>
    <xf numFmtId="49" fontId="12" fillId="36" borderId="19" xfId="0" applyNumberFormat="1" applyFont="1" applyFill="1" applyBorder="1" applyAlignment="1">
      <alignment horizontal="center" vertical="center" wrapText="1"/>
    </xf>
    <xf numFmtId="176" fontId="12" fillId="36" borderId="22" xfId="0" applyNumberFormat="1" applyFont="1" applyFill="1" applyBorder="1" applyAlignment="1">
      <alignment horizontal="center" vertical="center" wrapText="1"/>
    </xf>
    <xf numFmtId="49" fontId="3" fillId="9" borderId="30" xfId="0" applyNumberFormat="1" applyFont="1" applyFill="1" applyBorder="1" applyAlignment="1">
      <alignment horizontal="center" vertical="center" wrapText="1"/>
    </xf>
    <xf numFmtId="49" fontId="3" fillId="9" borderId="24" xfId="0" applyNumberFormat="1" applyFont="1" applyFill="1" applyBorder="1" applyAlignment="1">
      <alignment horizontal="left" vertical="center" wrapText="1"/>
    </xf>
    <xf numFmtId="0" fontId="3" fillId="9" borderId="24" xfId="0" applyFont="1" applyFill="1" applyBorder="1" applyAlignment="1">
      <alignment horizontal="center" vertical="center" wrapText="1"/>
    </xf>
    <xf numFmtId="49" fontId="3" fillId="9" borderId="24" xfId="0" applyNumberFormat="1" applyFont="1" applyFill="1" applyBorder="1" applyAlignment="1">
      <alignment horizontal="center" vertical="center" wrapText="1"/>
    </xf>
    <xf numFmtId="176" fontId="3" fillId="9" borderId="31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left" vertical="center" wrapText="1"/>
    </xf>
    <xf numFmtId="176" fontId="60" fillId="12" borderId="2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176" fontId="4" fillId="0" borderId="24" xfId="0" applyNumberFormat="1" applyFont="1" applyFill="1" applyBorder="1" applyAlignment="1">
      <alignment horizontal="center" vertical="center" wrapText="1"/>
    </xf>
    <xf numFmtId="49" fontId="4" fillId="33" borderId="32" xfId="0" applyNumberFormat="1" applyFont="1" applyFill="1" applyBorder="1" applyAlignment="1">
      <alignment horizontal="center" vertical="center" wrapText="1"/>
    </xf>
    <xf numFmtId="0" fontId="1" fillId="0" borderId="0" xfId="53" applyFont="1" applyAlignment="1">
      <alignment horizontal="right"/>
      <protection/>
    </xf>
    <xf numFmtId="0" fontId="0" fillId="0" borderId="0" xfId="0" applyAlignment="1">
      <alignment horizontal="right" wrapText="1"/>
    </xf>
    <xf numFmtId="0" fontId="61" fillId="34" borderId="0" xfId="0" applyFont="1" applyFill="1" applyAlignment="1">
      <alignment horizontal="right" wrapText="1"/>
    </xf>
    <xf numFmtId="0" fontId="61" fillId="34" borderId="0" xfId="0" applyFont="1" applyFill="1" applyAlignment="1">
      <alignment horizontal="right" wrapText="1"/>
    </xf>
    <xf numFmtId="0" fontId="5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49" fontId="4" fillId="34" borderId="10" xfId="0" applyNumberFormat="1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/>
    </xf>
    <xf numFmtId="176" fontId="4" fillId="34" borderId="10" xfId="0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184" fontId="4" fillId="34" borderId="10" xfId="0" applyNumberFormat="1" applyFont="1" applyFill="1" applyBorder="1" applyAlignment="1">
      <alignment horizontal="center" wrapText="1"/>
    </xf>
    <xf numFmtId="0" fontId="4" fillId="34" borderId="10" xfId="53" applyFont="1" applyFill="1" applyBorder="1" applyAlignment="1">
      <alignment horizontal="center" wrapText="1"/>
      <protection/>
    </xf>
    <xf numFmtId="0" fontId="3" fillId="34" borderId="10" xfId="53" applyFont="1" applyFill="1" applyBorder="1" applyAlignment="1">
      <alignment horizontal="center" wrapText="1"/>
      <protection/>
    </xf>
    <xf numFmtId="14" fontId="4" fillId="34" borderId="10" xfId="53" applyNumberFormat="1" applyFont="1" applyFill="1" applyBorder="1" applyAlignment="1">
      <alignment horizontal="center" wrapText="1"/>
      <protection/>
    </xf>
    <xf numFmtId="16" fontId="4" fillId="34" borderId="10" xfId="53" applyNumberFormat="1" applyFont="1" applyFill="1" applyBorder="1" applyAlignment="1">
      <alignment horizontal="center" wrapText="1"/>
      <protection/>
    </xf>
    <xf numFmtId="176" fontId="4" fillId="34" borderId="10" xfId="53" applyNumberFormat="1" applyFont="1" applyFill="1" applyBorder="1" applyAlignment="1">
      <alignment horizontal="center" wrapText="1"/>
      <protection/>
    </xf>
    <xf numFmtId="184" fontId="4" fillId="34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49" fontId="3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/>
    </xf>
    <xf numFmtId="176" fontId="4" fillId="34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 wrapText="1"/>
    </xf>
    <xf numFmtId="176" fontId="4" fillId="34" borderId="10" xfId="0" applyNumberFormat="1" applyFont="1" applyFill="1" applyBorder="1" applyAlignment="1">
      <alignment horizontal="center" wrapText="1"/>
    </xf>
    <xf numFmtId="176" fontId="58" fillId="34" borderId="10" xfId="0" applyNumberFormat="1" applyFont="1" applyFill="1" applyBorder="1" applyAlignment="1">
      <alignment horizontal="center" wrapText="1"/>
    </xf>
    <xf numFmtId="176" fontId="62" fillId="34" borderId="10" xfId="0" applyNumberFormat="1" applyFont="1" applyFill="1" applyBorder="1" applyAlignment="1">
      <alignment horizontal="center" wrapText="1"/>
    </xf>
    <xf numFmtId="2" fontId="4" fillId="34" borderId="10" xfId="0" applyNumberFormat="1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0" fontId="55" fillId="34" borderId="10" xfId="0" applyFont="1" applyFill="1" applyBorder="1" applyAlignment="1">
      <alignment horizontal="center" wrapText="1"/>
    </xf>
    <xf numFmtId="171" fontId="4" fillId="34" borderId="10" xfId="61" applyFont="1" applyFill="1" applyBorder="1" applyAlignment="1">
      <alignment horizontal="center" wrapText="1"/>
    </xf>
    <xf numFmtId="0" fontId="58" fillId="34" borderId="1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189" fontId="4" fillId="0" borderId="0" xfId="61" applyNumberFormat="1" applyFont="1" applyAlignment="1">
      <alignment horizontal="center"/>
    </xf>
    <xf numFmtId="189" fontId="4" fillId="34" borderId="10" xfId="61" applyNumberFormat="1" applyFont="1" applyFill="1" applyBorder="1" applyAlignment="1">
      <alignment horizontal="center" wrapText="1"/>
    </xf>
    <xf numFmtId="0" fontId="4" fillId="34" borderId="10" xfId="0" applyNumberFormat="1" applyFont="1" applyFill="1" applyBorder="1" applyAlignment="1">
      <alignment horizontal="center" wrapText="1"/>
    </xf>
    <xf numFmtId="176" fontId="55" fillId="34" borderId="10" xfId="0" applyNumberFormat="1" applyFont="1" applyFill="1" applyBorder="1" applyAlignment="1">
      <alignment horizontal="center" wrapText="1"/>
    </xf>
    <xf numFmtId="176" fontId="3" fillId="34" borderId="10" xfId="0" applyNumberFormat="1" applyFont="1" applyFill="1" applyBorder="1" applyAlignment="1">
      <alignment horizontal="center" wrapText="1"/>
    </xf>
    <xf numFmtId="189" fontId="4" fillId="34" borderId="10" xfId="0" applyNumberFormat="1" applyFont="1" applyFill="1" applyBorder="1" applyAlignment="1">
      <alignment horizontal="center" wrapText="1"/>
    </xf>
    <xf numFmtId="0" fontId="4" fillId="34" borderId="10" xfId="42" applyFont="1" applyFill="1" applyBorder="1" applyAlignment="1" applyProtection="1">
      <alignment horizontal="center" wrapText="1"/>
      <protection/>
    </xf>
    <xf numFmtId="0" fontId="5" fillId="33" borderId="11" xfId="0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1" fillId="34" borderId="0" xfId="0" applyFont="1" applyFill="1" applyAlignment="1">
      <alignment horizontal="right" wrapText="1"/>
    </xf>
    <xf numFmtId="0" fontId="1" fillId="0" borderId="33" xfId="53" applyFont="1" applyBorder="1" applyAlignment="1">
      <alignment horizontal="center"/>
      <protection/>
    </xf>
    <xf numFmtId="0" fontId="1" fillId="0" borderId="0" xfId="53" applyFont="1" applyAlignment="1">
      <alignment horizontal="right"/>
      <protection/>
    </xf>
    <xf numFmtId="0" fontId="1" fillId="0" borderId="0" xfId="53" applyFont="1" applyAlignment="1">
      <alignment horizontal="right" wrapText="1"/>
      <protection/>
    </xf>
    <xf numFmtId="0" fontId="5" fillId="34" borderId="1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5" fillId="34" borderId="10" xfId="0" applyFont="1" applyFill="1" applyBorder="1" applyAlignment="1">
      <alignment horizontal="center" vertical="center" wrapText="1"/>
    </xf>
    <xf numFmtId="16" fontId="4" fillId="34" borderId="10" xfId="53" applyNumberFormat="1" applyFont="1" applyFill="1" applyBorder="1" applyAlignment="1">
      <alignment horizontal="center" wrapText="1"/>
      <protection/>
    </xf>
    <xf numFmtId="0" fontId="4" fillId="34" borderId="10" xfId="53" applyFont="1" applyFill="1" applyBorder="1" applyAlignment="1">
      <alignment horizontal="center" wrapText="1"/>
      <protection/>
    </xf>
    <xf numFmtId="0" fontId="1" fillId="34" borderId="10" xfId="53" applyFont="1" applyFill="1" applyBorder="1" applyAlignment="1">
      <alignment horizontal="center" wrapText="1"/>
      <protection/>
    </xf>
    <xf numFmtId="0" fontId="1" fillId="34" borderId="10" xfId="0" applyFont="1" applyFill="1" applyBorder="1" applyAlignment="1">
      <alignment horizontal="center" wrapText="1"/>
    </xf>
    <xf numFmtId="184" fontId="4" fillId="34" borderId="10" xfId="0" applyNumberFormat="1" applyFont="1" applyFill="1" applyBorder="1" applyAlignment="1">
      <alignment horizontal="center" wrapText="1"/>
    </xf>
    <xf numFmtId="0" fontId="3" fillId="34" borderId="10" xfId="53" applyFont="1" applyFill="1" applyBorder="1" applyAlignment="1">
      <alignment horizontal="center" wrapText="1"/>
      <protection/>
    </xf>
    <xf numFmtId="184" fontId="4" fillId="34" borderId="10" xfId="0" applyNumberFormat="1" applyFont="1" applyFill="1" applyBorder="1" applyAlignment="1">
      <alignment horizontal="center"/>
    </xf>
    <xf numFmtId="184" fontId="4" fillId="34" borderId="11" xfId="0" applyNumberFormat="1" applyFont="1" applyFill="1" applyBorder="1" applyAlignment="1">
      <alignment horizontal="center"/>
    </xf>
    <xf numFmtId="184" fontId="4" fillId="34" borderId="15" xfId="0" applyNumberFormat="1" applyFont="1" applyFill="1" applyBorder="1" applyAlignment="1">
      <alignment horizontal="center"/>
    </xf>
    <xf numFmtId="184" fontId="4" fillId="34" borderId="12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49" fontId="1" fillId="34" borderId="34" xfId="0" applyNumberFormat="1" applyFont="1" applyFill="1" applyBorder="1" applyAlignment="1">
      <alignment horizontal="center" vertical="center" wrapText="1"/>
    </xf>
    <xf numFmtId="49" fontId="1" fillId="34" borderId="35" xfId="0" applyNumberFormat="1" applyFont="1" applyFill="1" applyBorder="1" applyAlignment="1">
      <alignment horizontal="center" vertical="center" wrapText="1"/>
    </xf>
    <xf numFmtId="49" fontId="1" fillId="34" borderId="32" xfId="0" applyNumberFormat="1" applyFont="1" applyFill="1" applyBorder="1" applyAlignment="1">
      <alignment horizontal="center" vertical="center" wrapText="1"/>
    </xf>
    <xf numFmtId="176" fontId="4" fillId="34" borderId="34" xfId="0" applyNumberFormat="1" applyFont="1" applyFill="1" applyBorder="1" applyAlignment="1">
      <alignment horizontal="center" wrapText="1"/>
    </xf>
    <xf numFmtId="176" fontId="4" fillId="34" borderId="35" xfId="0" applyNumberFormat="1" applyFont="1" applyFill="1" applyBorder="1" applyAlignment="1">
      <alignment horizontal="center" wrapText="1"/>
    </xf>
    <xf numFmtId="176" fontId="4" fillId="34" borderId="32" xfId="0" applyNumberFormat="1" applyFont="1" applyFill="1" applyBorder="1" applyAlignment="1">
      <alignment horizontal="center" wrapText="1"/>
    </xf>
    <xf numFmtId="0" fontId="1" fillId="0" borderId="0" xfId="53" applyFont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A8367C61548C2AFBF9E6FD402A88DD132E1B56AAFE142E0CE9D95665F554F312D528821FE7E34F0DBiFM" TargetMode="External" /><Relationship Id="rId2" Type="http://schemas.openxmlformats.org/officeDocument/2006/relationships/hyperlink" Target="consultantplus://offline/ref=BA8367C61548C2AFBF9E6FD402A88DD132E1B56AAFE142E0CE9D95665F554F312D528821FE7E34F0DBiFM" TargetMode="External" /><Relationship Id="rId3" Type="http://schemas.openxmlformats.org/officeDocument/2006/relationships/hyperlink" Target="consultantplus://offline/ref=37CB61848D3A6800D660F2D2E804EC401BB9181ED910B74777BA149D24DE935506BFA7761A0CC035lAh4M" TargetMode="External" /><Relationship Id="rId4" Type="http://schemas.openxmlformats.org/officeDocument/2006/relationships/hyperlink" Target="consultantplus://offline/ref=4645F68FF4B25908A56D00841820D7831ED18FCDE99E9570B71166DD85CCDB57342F52CC786DCE3FpDgAM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zoomScalePageLayoutView="0" workbookViewId="0" topLeftCell="A25">
      <selection activeCell="O5" sqref="O5"/>
    </sheetView>
  </sheetViews>
  <sheetFormatPr defaultColWidth="9.00390625" defaultRowHeight="12.75"/>
  <cols>
    <col min="2" max="2" width="21.75390625" style="0" customWidth="1"/>
    <col min="3" max="3" width="27.25390625" style="0" customWidth="1"/>
    <col min="4" max="4" width="10.75390625" style="0" customWidth="1"/>
    <col min="5" max="5" width="9.375" style="0" customWidth="1"/>
    <col min="6" max="6" width="9.125" style="0" customWidth="1"/>
  </cols>
  <sheetData>
    <row r="1" spans="1:6" ht="12.75">
      <c r="A1" s="122"/>
      <c r="B1" s="122"/>
      <c r="C1" s="252" t="s">
        <v>415</v>
      </c>
      <c r="D1" s="252"/>
      <c r="E1" s="252"/>
      <c r="F1" s="252"/>
    </row>
    <row r="2" spans="1:6" ht="12.75">
      <c r="A2" s="122"/>
      <c r="B2" s="122"/>
      <c r="C2" s="252" t="s">
        <v>234</v>
      </c>
      <c r="D2" s="252"/>
      <c r="E2" s="252"/>
      <c r="F2" s="252"/>
    </row>
    <row r="3" spans="1:6" ht="12.75">
      <c r="A3" s="122"/>
      <c r="B3" s="252" t="s">
        <v>462</v>
      </c>
      <c r="C3" s="252"/>
      <c r="D3" s="252"/>
      <c r="E3" s="252"/>
      <c r="F3" s="252"/>
    </row>
    <row r="4" spans="1:6" ht="12.75">
      <c r="A4" s="122"/>
      <c r="B4" s="151"/>
      <c r="C4" s="252" t="s">
        <v>509</v>
      </c>
      <c r="D4" s="252"/>
      <c r="E4" s="252"/>
      <c r="F4" s="252"/>
    </row>
    <row r="5" spans="1:6" ht="27" customHeight="1">
      <c r="A5" s="122"/>
      <c r="B5" s="250" t="s">
        <v>508</v>
      </c>
      <c r="C5" s="250"/>
      <c r="D5" s="250"/>
      <c r="E5" s="250"/>
      <c r="F5" s="250"/>
    </row>
    <row r="6" spans="1:6" ht="1.5" customHeight="1">
      <c r="A6" s="122"/>
      <c r="B6" s="270"/>
      <c r="C6" s="270"/>
      <c r="D6" s="270"/>
      <c r="E6" s="270"/>
      <c r="F6" s="270"/>
    </row>
    <row r="7" spans="1:6" ht="10.5" customHeight="1">
      <c r="A7" s="122"/>
      <c r="B7" s="249"/>
      <c r="C7" s="249"/>
      <c r="D7" s="249"/>
      <c r="E7" s="249"/>
      <c r="F7" s="249"/>
    </row>
    <row r="8" spans="1:4" ht="12.75">
      <c r="A8" s="122"/>
      <c r="B8" s="122"/>
      <c r="C8" s="150" t="s">
        <v>460</v>
      </c>
      <c r="D8" s="122"/>
    </row>
    <row r="9" spans="1:4" ht="12.75">
      <c r="A9" s="122"/>
      <c r="B9" s="122"/>
      <c r="C9" s="150" t="s">
        <v>236</v>
      </c>
      <c r="D9" s="122"/>
    </row>
    <row r="10" spans="1:4" ht="12.75">
      <c r="A10" s="122"/>
      <c r="B10" s="122"/>
      <c r="C10" s="150" t="s">
        <v>239</v>
      </c>
      <c r="D10" s="122"/>
    </row>
    <row r="11" spans="1:4" ht="12.75">
      <c r="A11" s="122"/>
      <c r="B11" s="122"/>
      <c r="C11" s="150" t="s">
        <v>461</v>
      </c>
      <c r="D11" s="122"/>
    </row>
    <row r="12" spans="1:4" ht="12.75">
      <c r="A12" s="122"/>
      <c r="B12" s="122"/>
      <c r="C12" s="122"/>
      <c r="D12" s="122"/>
    </row>
    <row r="13" spans="1:6" ht="25.5" customHeight="1">
      <c r="A13" s="261" t="s">
        <v>414</v>
      </c>
      <c r="B13" s="262" t="s">
        <v>413</v>
      </c>
      <c r="C13" s="262" t="s">
        <v>412</v>
      </c>
      <c r="D13" s="262" t="s">
        <v>454</v>
      </c>
      <c r="E13" s="263" t="s">
        <v>455</v>
      </c>
      <c r="F13" s="263" t="s">
        <v>456</v>
      </c>
    </row>
    <row r="14" spans="1:6" ht="12.75">
      <c r="A14" s="261"/>
      <c r="B14" s="262"/>
      <c r="C14" s="262"/>
      <c r="D14" s="262"/>
      <c r="E14" s="263"/>
      <c r="F14" s="263"/>
    </row>
    <row r="15" spans="1:6" ht="22.5">
      <c r="A15" s="199" t="s">
        <v>411</v>
      </c>
      <c r="B15" s="199" t="s">
        <v>410</v>
      </c>
      <c r="C15" s="199" t="s">
        <v>409</v>
      </c>
      <c r="D15" s="199">
        <f>D16+D31+D34+D37+D53+D61+D73+D47</f>
        <v>86432.4</v>
      </c>
      <c r="E15" s="198">
        <v>86951.5</v>
      </c>
      <c r="F15" s="198">
        <f>E15/D15*100</f>
        <v>100.600584965823</v>
      </c>
    </row>
    <row r="16" spans="1:6" ht="23.25" customHeight="1">
      <c r="A16" s="199" t="s">
        <v>0</v>
      </c>
      <c r="B16" s="199" t="s">
        <v>408</v>
      </c>
      <c r="C16" s="199" t="s">
        <v>407</v>
      </c>
      <c r="D16" s="199">
        <f>D17+D25+D28</f>
        <v>49831</v>
      </c>
      <c r="E16" s="198">
        <v>48352.5</v>
      </c>
      <c r="F16" s="198">
        <f>E16/D16*100+ROUND(,1)</f>
        <v>97.03297144347896</v>
      </c>
    </row>
    <row r="17" spans="1:6" ht="34.5" customHeight="1">
      <c r="A17" s="199" t="s">
        <v>2</v>
      </c>
      <c r="B17" s="199" t="s">
        <v>406</v>
      </c>
      <c r="C17" s="199" t="s">
        <v>405</v>
      </c>
      <c r="D17" s="199">
        <f>D18+D21+D24</f>
        <v>30493.9</v>
      </c>
      <c r="E17" s="198">
        <v>32941.3</v>
      </c>
      <c r="F17" s="204">
        <f>E17/D17*100</f>
        <v>108.02586746857568</v>
      </c>
    </row>
    <row r="18" spans="1:6" ht="42.75" customHeight="1">
      <c r="A18" s="199" t="s">
        <v>4</v>
      </c>
      <c r="B18" s="200" t="s">
        <v>404</v>
      </c>
      <c r="C18" s="200" t="s">
        <v>402</v>
      </c>
      <c r="D18" s="200">
        <f>D19</f>
        <v>21279.9</v>
      </c>
      <c r="E18" s="198">
        <f>E19+E20</f>
        <v>20984.2</v>
      </c>
      <c r="F18" s="204">
        <f>E18/D18*100</f>
        <v>98.61042580087313</v>
      </c>
    </row>
    <row r="19" spans="1:6" ht="48" customHeight="1">
      <c r="A19" s="199"/>
      <c r="B19" s="199" t="s">
        <v>403</v>
      </c>
      <c r="C19" s="199" t="s">
        <v>402</v>
      </c>
      <c r="D19" s="199">
        <v>21279.9</v>
      </c>
      <c r="E19" s="198">
        <v>20984.2</v>
      </c>
      <c r="F19" s="204">
        <f>E19/D19*100</f>
        <v>98.61042580087313</v>
      </c>
    </row>
    <row r="20" spans="1:6" ht="56.25" customHeight="1">
      <c r="A20" s="199"/>
      <c r="B20" s="199" t="s">
        <v>401</v>
      </c>
      <c r="C20" s="199" t="s">
        <v>400</v>
      </c>
      <c r="D20" s="199">
        <v>0</v>
      </c>
      <c r="E20" s="198">
        <v>0</v>
      </c>
      <c r="F20" s="204" t="s">
        <v>463</v>
      </c>
    </row>
    <row r="21" spans="1:6" ht="69" customHeight="1">
      <c r="A21" s="201" t="s">
        <v>399</v>
      </c>
      <c r="B21" s="200" t="s">
        <v>398</v>
      </c>
      <c r="C21" s="200" t="s">
        <v>396</v>
      </c>
      <c r="D21" s="200">
        <f>SUM(D22:D23)</f>
        <v>5898.3</v>
      </c>
      <c r="E21" s="198">
        <f>E22+E23</f>
        <v>9405.2</v>
      </c>
      <c r="F21" s="204">
        <f>E21/D21*100</f>
        <v>159.4561144736619</v>
      </c>
    </row>
    <row r="22" spans="1:6" ht="59.25" customHeight="1">
      <c r="A22" s="199"/>
      <c r="B22" s="199" t="s">
        <v>397</v>
      </c>
      <c r="C22" s="199" t="s">
        <v>396</v>
      </c>
      <c r="D22" s="199">
        <v>5898.3</v>
      </c>
      <c r="E22" s="198">
        <v>9407</v>
      </c>
      <c r="F22" s="204">
        <f>E22/D22*100</f>
        <v>159.4866317413492</v>
      </c>
    </row>
    <row r="23" spans="1:6" ht="68.25" customHeight="1">
      <c r="A23" s="199"/>
      <c r="B23" s="199" t="s">
        <v>395</v>
      </c>
      <c r="C23" s="199" t="s">
        <v>394</v>
      </c>
      <c r="D23" s="199">
        <v>0</v>
      </c>
      <c r="E23" s="198">
        <v>-1.8</v>
      </c>
      <c r="F23" s="204" t="s">
        <v>463</v>
      </c>
    </row>
    <row r="24" spans="1:6" ht="33.75">
      <c r="A24" s="199" t="s">
        <v>393</v>
      </c>
      <c r="B24" s="200" t="s">
        <v>392</v>
      </c>
      <c r="C24" s="200" t="s">
        <v>391</v>
      </c>
      <c r="D24" s="200">
        <v>3315.7</v>
      </c>
      <c r="E24" s="198">
        <v>2552</v>
      </c>
      <c r="F24" s="204">
        <f>E24/D24*100</f>
        <v>76.9671562565974</v>
      </c>
    </row>
    <row r="25" spans="1:6" ht="22.5">
      <c r="A25" s="202" t="s">
        <v>7</v>
      </c>
      <c r="B25" s="199" t="s">
        <v>390</v>
      </c>
      <c r="C25" s="199" t="s">
        <v>388</v>
      </c>
      <c r="D25" s="199">
        <f>D26</f>
        <v>17567.5</v>
      </c>
      <c r="E25" s="198">
        <f>E26+E27</f>
        <v>14201.8</v>
      </c>
      <c r="F25" s="204"/>
    </row>
    <row r="26" spans="1:6" ht="22.5">
      <c r="A26" s="201"/>
      <c r="B26" s="199" t="s">
        <v>389</v>
      </c>
      <c r="C26" s="199" t="s">
        <v>388</v>
      </c>
      <c r="D26" s="199">
        <v>17567.5</v>
      </c>
      <c r="E26" s="198">
        <v>14171.5</v>
      </c>
      <c r="F26" s="204">
        <f>E26/D26*100</f>
        <v>80.66884872634125</v>
      </c>
    </row>
    <row r="27" spans="1:6" ht="52.5" customHeight="1">
      <c r="A27" s="199"/>
      <c r="B27" s="199" t="s">
        <v>387</v>
      </c>
      <c r="C27" s="199" t="s">
        <v>386</v>
      </c>
      <c r="D27" s="199">
        <v>0</v>
      </c>
      <c r="E27" s="198">
        <v>30.3</v>
      </c>
      <c r="F27" s="204" t="s">
        <v>463</v>
      </c>
    </row>
    <row r="28" spans="1:6" ht="37.5" customHeight="1">
      <c r="A28" s="261" t="s">
        <v>385</v>
      </c>
      <c r="B28" s="261" t="s">
        <v>384</v>
      </c>
      <c r="C28" s="261" t="s">
        <v>383</v>
      </c>
      <c r="D28" s="261">
        <f>D30</f>
        <v>1769.6</v>
      </c>
      <c r="E28" s="264">
        <f>E30</f>
        <v>1209.4</v>
      </c>
      <c r="F28" s="266">
        <f>E28/D28*100</f>
        <v>68.34312839059675</v>
      </c>
    </row>
    <row r="29" spans="1:6" ht="8.25" customHeight="1">
      <c r="A29" s="261"/>
      <c r="B29" s="261"/>
      <c r="C29" s="261"/>
      <c r="D29" s="261"/>
      <c r="E29" s="264"/>
      <c r="F29" s="266"/>
    </row>
    <row r="30" spans="1:6" ht="67.5" customHeight="1">
      <c r="A30" s="199"/>
      <c r="B30" s="199" t="s">
        <v>382</v>
      </c>
      <c r="C30" s="199" t="s">
        <v>381</v>
      </c>
      <c r="D30" s="199">
        <v>1769.6</v>
      </c>
      <c r="E30" s="198">
        <v>1209.4</v>
      </c>
      <c r="F30" s="204">
        <f>E30/D30*100</f>
        <v>68.34312839059675</v>
      </c>
    </row>
    <row r="31" spans="1:6" ht="12.75">
      <c r="A31" s="199" t="s">
        <v>224</v>
      </c>
      <c r="B31" s="199" t="s">
        <v>380</v>
      </c>
      <c r="C31" s="199" t="s">
        <v>379</v>
      </c>
      <c r="D31" s="199">
        <f>D32</f>
        <v>30294.7</v>
      </c>
      <c r="E31" s="198">
        <f>E32</f>
        <v>32175.9</v>
      </c>
      <c r="F31" s="204">
        <f>E31/D31*100</f>
        <v>106.20966703746859</v>
      </c>
    </row>
    <row r="32" spans="1:6" ht="15" customHeight="1">
      <c r="A32" s="199" t="s">
        <v>15</v>
      </c>
      <c r="B32" s="199" t="s">
        <v>378</v>
      </c>
      <c r="C32" s="199" t="s">
        <v>377</v>
      </c>
      <c r="D32" s="199">
        <f>D33</f>
        <v>30294.7</v>
      </c>
      <c r="E32" s="198">
        <v>32175.9</v>
      </c>
      <c r="F32" s="204">
        <f>E32/D32*100</f>
        <v>106.20966703746859</v>
      </c>
    </row>
    <row r="33" spans="1:6" ht="87.75" customHeight="1">
      <c r="A33" s="199"/>
      <c r="B33" s="199" t="s">
        <v>376</v>
      </c>
      <c r="C33" s="199" t="s">
        <v>375</v>
      </c>
      <c r="D33" s="199">
        <v>30294.7</v>
      </c>
      <c r="E33" s="198">
        <v>32175.9</v>
      </c>
      <c r="F33" s="204">
        <f>E33/D33*100</f>
        <v>106.20966703746859</v>
      </c>
    </row>
    <row r="34" spans="1:6" ht="60.75" customHeight="1">
      <c r="A34" s="199" t="s">
        <v>43</v>
      </c>
      <c r="B34" s="199" t="s">
        <v>374</v>
      </c>
      <c r="C34" s="199" t="s">
        <v>373</v>
      </c>
      <c r="D34" s="199">
        <v>0</v>
      </c>
      <c r="E34" s="198">
        <v>0</v>
      </c>
      <c r="F34" s="204">
        <v>0</v>
      </c>
    </row>
    <row r="35" spans="1:6" ht="12.75">
      <c r="A35" s="200" t="s">
        <v>45</v>
      </c>
      <c r="B35" s="200" t="s">
        <v>372</v>
      </c>
      <c r="C35" s="200" t="s">
        <v>371</v>
      </c>
      <c r="D35" s="200">
        <v>0</v>
      </c>
      <c r="E35" s="198">
        <v>0</v>
      </c>
      <c r="F35" s="204">
        <v>0</v>
      </c>
    </row>
    <row r="36" spans="1:6" ht="29.25" customHeight="1">
      <c r="A36" s="199"/>
      <c r="B36" s="199" t="s">
        <v>370</v>
      </c>
      <c r="C36" s="199" t="s">
        <v>369</v>
      </c>
      <c r="D36" s="199">
        <v>0</v>
      </c>
      <c r="E36" s="198">
        <v>0</v>
      </c>
      <c r="F36" s="204">
        <v>0</v>
      </c>
    </row>
    <row r="37" spans="1:6" ht="59.25" customHeight="1">
      <c r="A37" s="199" t="s">
        <v>368</v>
      </c>
      <c r="B37" s="199" t="s">
        <v>367</v>
      </c>
      <c r="C37" s="199" t="s">
        <v>366</v>
      </c>
      <c r="D37" s="199">
        <v>0</v>
      </c>
      <c r="E37" s="198">
        <v>0</v>
      </c>
      <c r="F37" s="204">
        <v>0</v>
      </c>
    </row>
    <row r="38" spans="1:6" ht="27" customHeight="1">
      <c r="A38" s="200" t="s">
        <v>135</v>
      </c>
      <c r="B38" s="200" t="s">
        <v>365</v>
      </c>
      <c r="C38" s="200" t="s">
        <v>364</v>
      </c>
      <c r="D38" s="200">
        <v>0</v>
      </c>
      <c r="E38" s="198">
        <v>0</v>
      </c>
      <c r="F38" s="204">
        <v>0</v>
      </c>
    </row>
    <row r="39" spans="1:6" ht="57" customHeight="1">
      <c r="A39" s="199"/>
      <c r="B39" s="199" t="s">
        <v>363</v>
      </c>
      <c r="C39" s="199" t="s">
        <v>362</v>
      </c>
      <c r="D39" s="199">
        <v>0</v>
      </c>
      <c r="E39" s="198">
        <v>0</v>
      </c>
      <c r="F39" s="204">
        <v>0</v>
      </c>
    </row>
    <row r="40" spans="1:6" ht="43.5" customHeight="1">
      <c r="A40" s="200" t="s">
        <v>361</v>
      </c>
      <c r="B40" s="200" t="s">
        <v>360</v>
      </c>
      <c r="C40" s="200" t="s">
        <v>359</v>
      </c>
      <c r="D40" s="200">
        <v>0</v>
      </c>
      <c r="E40" s="198">
        <v>0</v>
      </c>
      <c r="F40" s="204">
        <v>0</v>
      </c>
    </row>
    <row r="41" spans="1:6" ht="79.5" customHeight="1">
      <c r="A41" s="199"/>
      <c r="B41" s="199" t="s">
        <v>358</v>
      </c>
      <c r="C41" s="199" t="s">
        <v>357</v>
      </c>
      <c r="D41" s="199">
        <v>0</v>
      </c>
      <c r="E41" s="198">
        <v>0</v>
      </c>
      <c r="F41" s="204">
        <v>0</v>
      </c>
    </row>
    <row r="42" spans="1:6" ht="126" customHeight="1">
      <c r="A42" s="200" t="s">
        <v>356</v>
      </c>
      <c r="B42" s="200" t="s">
        <v>355</v>
      </c>
      <c r="C42" s="200" t="s">
        <v>354</v>
      </c>
      <c r="D42" s="200">
        <v>0</v>
      </c>
      <c r="E42" s="198">
        <v>0</v>
      </c>
      <c r="F42" s="204">
        <v>0</v>
      </c>
    </row>
    <row r="43" spans="1:6" ht="102" customHeight="1">
      <c r="A43" s="199"/>
      <c r="B43" s="199" t="s">
        <v>353</v>
      </c>
      <c r="C43" s="199" t="s">
        <v>352</v>
      </c>
      <c r="D43" s="199">
        <v>0</v>
      </c>
      <c r="E43" s="198">
        <v>0</v>
      </c>
      <c r="F43" s="204">
        <v>0</v>
      </c>
    </row>
    <row r="44" spans="1:6" ht="120" customHeight="1">
      <c r="A44" s="199"/>
      <c r="B44" s="199" t="s">
        <v>351</v>
      </c>
      <c r="C44" s="199" t="s">
        <v>350</v>
      </c>
      <c r="D44" s="199">
        <v>0</v>
      </c>
      <c r="E44" s="198">
        <v>0</v>
      </c>
      <c r="F44" s="204">
        <v>0</v>
      </c>
    </row>
    <row r="45" spans="1:6" ht="55.5" customHeight="1">
      <c r="A45" s="200" t="s">
        <v>349</v>
      </c>
      <c r="B45" s="200" t="s">
        <v>348</v>
      </c>
      <c r="C45" s="200" t="s">
        <v>347</v>
      </c>
      <c r="D45" s="200">
        <v>0</v>
      </c>
      <c r="E45" s="198">
        <v>0</v>
      </c>
      <c r="F45" s="204">
        <v>0</v>
      </c>
    </row>
    <row r="46" spans="1:6" ht="99.75" customHeight="1">
      <c r="A46" s="199"/>
      <c r="B46" s="199" t="s">
        <v>346</v>
      </c>
      <c r="C46" s="199" t="s">
        <v>345</v>
      </c>
      <c r="D46" s="199">
        <v>0</v>
      </c>
      <c r="E46" s="198">
        <v>0</v>
      </c>
      <c r="F46" s="204">
        <v>0</v>
      </c>
    </row>
    <row r="47" spans="1:6" ht="47.25" customHeight="1">
      <c r="A47" s="199" t="s">
        <v>344</v>
      </c>
      <c r="B47" s="199" t="s">
        <v>343</v>
      </c>
      <c r="C47" s="199" t="s">
        <v>342</v>
      </c>
      <c r="D47" s="199">
        <f>D48</f>
        <v>1500</v>
      </c>
      <c r="E47" s="198">
        <f>E48</f>
        <v>2421.2</v>
      </c>
      <c r="F47" s="204">
        <f>E47/D47*100</f>
        <v>161.41333333333333</v>
      </c>
    </row>
    <row r="48" spans="1:6" ht="36" customHeight="1">
      <c r="A48" s="200" t="s">
        <v>166</v>
      </c>
      <c r="B48" s="200" t="s">
        <v>341</v>
      </c>
      <c r="C48" s="200" t="s">
        <v>340</v>
      </c>
      <c r="D48" s="200">
        <f>D49</f>
        <v>1500</v>
      </c>
      <c r="E48" s="198">
        <f>E49</f>
        <v>2421.2</v>
      </c>
      <c r="F48" s="204">
        <f>E48/D48*100</f>
        <v>161.41333333333333</v>
      </c>
    </row>
    <row r="49" spans="1:6" ht="12.75">
      <c r="A49" s="261" t="s">
        <v>51</v>
      </c>
      <c r="B49" s="261" t="s">
        <v>339</v>
      </c>
      <c r="C49" s="261" t="s">
        <v>338</v>
      </c>
      <c r="D49" s="261">
        <f>SUM(D51:D52)</f>
        <v>1500</v>
      </c>
      <c r="E49" s="264">
        <f>E51+E52</f>
        <v>2421.2</v>
      </c>
      <c r="F49" s="266">
        <f>E49/D49*100</f>
        <v>161.41333333333333</v>
      </c>
    </row>
    <row r="50" spans="1:6" ht="30" customHeight="1">
      <c r="A50" s="261"/>
      <c r="B50" s="261"/>
      <c r="C50" s="261"/>
      <c r="D50" s="261"/>
      <c r="E50" s="264"/>
      <c r="F50" s="266"/>
    </row>
    <row r="51" spans="1:6" ht="105" customHeight="1">
      <c r="A51" s="199"/>
      <c r="B51" s="199" t="s">
        <v>337</v>
      </c>
      <c r="C51" s="199" t="s">
        <v>336</v>
      </c>
      <c r="D51" s="199">
        <v>1500</v>
      </c>
      <c r="E51" s="198">
        <v>2421.2</v>
      </c>
      <c r="F51" s="204">
        <f>E51/D51*100</f>
        <v>161.41333333333333</v>
      </c>
    </row>
    <row r="52" spans="1:6" ht="45">
      <c r="A52" s="199"/>
      <c r="B52" s="199" t="s">
        <v>335</v>
      </c>
      <c r="C52" s="199" t="s">
        <v>334</v>
      </c>
      <c r="D52" s="199">
        <v>0</v>
      </c>
      <c r="E52" s="198">
        <v>0</v>
      </c>
      <c r="F52" s="204">
        <v>0</v>
      </c>
    </row>
    <row r="53" spans="1:6" ht="33.75">
      <c r="A53" s="199" t="s">
        <v>333</v>
      </c>
      <c r="B53" s="199" t="s">
        <v>332</v>
      </c>
      <c r="C53" s="199" t="s">
        <v>331</v>
      </c>
      <c r="D53" s="199">
        <v>0</v>
      </c>
      <c r="E53" s="198">
        <f>E54</f>
        <v>12</v>
      </c>
      <c r="F53" s="205" t="s">
        <v>463</v>
      </c>
    </row>
    <row r="54" spans="1:6" ht="48.75" customHeight="1">
      <c r="A54" s="200" t="s">
        <v>54</v>
      </c>
      <c r="B54" s="200" t="s">
        <v>330</v>
      </c>
      <c r="C54" s="200" t="s">
        <v>329</v>
      </c>
      <c r="D54" s="200">
        <v>0</v>
      </c>
      <c r="E54" s="198">
        <f>E55</f>
        <v>12</v>
      </c>
      <c r="F54" s="204" t="s">
        <v>463</v>
      </c>
    </row>
    <row r="55" spans="1:6" ht="27" customHeight="1">
      <c r="A55" s="261" t="s">
        <v>56</v>
      </c>
      <c r="B55" s="261" t="s">
        <v>328</v>
      </c>
      <c r="C55" s="261" t="s">
        <v>327</v>
      </c>
      <c r="D55" s="261">
        <v>0</v>
      </c>
      <c r="E55" s="264">
        <f>E58</f>
        <v>12</v>
      </c>
      <c r="F55" s="267" t="s">
        <v>463</v>
      </c>
    </row>
    <row r="56" spans="1:6" ht="12.75">
      <c r="A56" s="261"/>
      <c r="B56" s="261"/>
      <c r="C56" s="261"/>
      <c r="D56" s="261"/>
      <c r="E56" s="264"/>
      <c r="F56" s="268"/>
    </row>
    <row r="57" spans="1:6" ht="102" customHeight="1">
      <c r="A57" s="261"/>
      <c r="B57" s="261"/>
      <c r="C57" s="261"/>
      <c r="D57" s="261"/>
      <c r="E57" s="264"/>
      <c r="F57" s="269"/>
    </row>
    <row r="58" spans="1:6" ht="150.75" customHeight="1">
      <c r="A58" s="199"/>
      <c r="B58" s="199" t="s">
        <v>326</v>
      </c>
      <c r="C58" s="199" t="s">
        <v>325</v>
      </c>
      <c r="D58" s="199">
        <v>0</v>
      </c>
      <c r="E58" s="198">
        <v>12</v>
      </c>
      <c r="F58" s="204" t="s">
        <v>463</v>
      </c>
    </row>
    <row r="59" spans="1:6" ht="143.25" customHeight="1">
      <c r="A59" s="199" t="s">
        <v>149</v>
      </c>
      <c r="B59" s="199" t="s">
        <v>324</v>
      </c>
      <c r="C59" s="199" t="s">
        <v>323</v>
      </c>
      <c r="D59" s="199">
        <v>0</v>
      </c>
      <c r="E59" s="198">
        <v>0</v>
      </c>
      <c r="F59" s="204" t="s">
        <v>463</v>
      </c>
    </row>
    <row r="60" spans="1:6" ht="142.5" customHeight="1">
      <c r="A60" s="199"/>
      <c r="B60" s="199" t="s">
        <v>322</v>
      </c>
      <c r="C60" s="199" t="s">
        <v>321</v>
      </c>
      <c r="D60" s="199">
        <v>0</v>
      </c>
      <c r="E60" s="198">
        <v>0</v>
      </c>
      <c r="F60" s="204">
        <v>0</v>
      </c>
    </row>
    <row r="61" spans="1:6" ht="22.5">
      <c r="A61" s="199" t="s">
        <v>320</v>
      </c>
      <c r="B61" s="199" t="s">
        <v>319</v>
      </c>
      <c r="C61" s="199" t="s">
        <v>318</v>
      </c>
      <c r="D61" s="199">
        <f>D62+D64</f>
        <v>4806.7</v>
      </c>
      <c r="E61" s="198">
        <f>E62+E64</f>
        <v>3990.79</v>
      </c>
      <c r="F61" s="204">
        <f>E61/D61*100</f>
        <v>83.02556847733372</v>
      </c>
    </row>
    <row r="62" spans="1:6" ht="12.75">
      <c r="A62" s="260" t="s">
        <v>59</v>
      </c>
      <c r="B62" s="261" t="s">
        <v>317</v>
      </c>
      <c r="C62" s="261" t="s">
        <v>316</v>
      </c>
      <c r="D62" s="261">
        <v>477.3</v>
      </c>
      <c r="E62" s="264">
        <v>582</v>
      </c>
      <c r="F62" s="266">
        <f>E62/D62*100</f>
        <v>121.93588937774985</v>
      </c>
    </row>
    <row r="63" spans="1:6" ht="73.5" customHeight="1">
      <c r="A63" s="261"/>
      <c r="B63" s="261"/>
      <c r="C63" s="261"/>
      <c r="D63" s="261"/>
      <c r="E63" s="264"/>
      <c r="F63" s="266"/>
    </row>
    <row r="64" spans="1:6" ht="41.25" customHeight="1">
      <c r="A64" s="199" t="s">
        <v>153</v>
      </c>
      <c r="B64" s="199" t="s">
        <v>315</v>
      </c>
      <c r="C64" s="199" t="s">
        <v>314</v>
      </c>
      <c r="D64" s="199">
        <f>D65</f>
        <v>4329.4</v>
      </c>
      <c r="E64" s="198">
        <f>E65</f>
        <v>3408.79</v>
      </c>
      <c r="F64" s="204">
        <f>E64/D64*100</f>
        <v>78.73585254307757</v>
      </c>
    </row>
    <row r="65" spans="1:6" ht="12.75">
      <c r="A65" s="265" t="s">
        <v>154</v>
      </c>
      <c r="B65" s="265" t="s">
        <v>313</v>
      </c>
      <c r="C65" s="265" t="s">
        <v>312</v>
      </c>
      <c r="D65" s="265">
        <f>SUM(D67:D70)</f>
        <v>4329.4</v>
      </c>
      <c r="E65" s="264">
        <f>E67+E68+E69+E70+E71+E72+ROUND(1,0)</f>
        <v>3408.79</v>
      </c>
      <c r="F65" s="266">
        <f>E65/D65*100+ROUND(1,1)</f>
        <v>79.73585254307757</v>
      </c>
    </row>
    <row r="66" spans="1:6" ht="70.5" customHeight="1">
      <c r="A66" s="265"/>
      <c r="B66" s="265"/>
      <c r="C66" s="265"/>
      <c r="D66" s="265"/>
      <c r="E66" s="264"/>
      <c r="F66" s="266"/>
    </row>
    <row r="67" spans="1:6" ht="87" customHeight="1">
      <c r="A67" s="199"/>
      <c r="B67" s="199" t="s">
        <v>311</v>
      </c>
      <c r="C67" s="238" t="s">
        <v>308</v>
      </c>
      <c r="D67" s="199">
        <v>3314.6</v>
      </c>
      <c r="E67" s="198">
        <v>2035</v>
      </c>
      <c r="F67" s="204">
        <f>E67/D67*100</f>
        <v>61.39504012550534</v>
      </c>
    </row>
    <row r="68" spans="1:6" ht="81.75" customHeight="1">
      <c r="A68" s="199"/>
      <c r="B68" s="199" t="s">
        <v>310</v>
      </c>
      <c r="C68" s="238" t="s">
        <v>308</v>
      </c>
      <c r="D68" s="199">
        <v>220.6</v>
      </c>
      <c r="E68" s="198">
        <v>72.5</v>
      </c>
      <c r="F68" s="204">
        <f>E68/D68*100</f>
        <v>32.8649138712602</v>
      </c>
    </row>
    <row r="69" spans="1:6" ht="82.5" customHeight="1">
      <c r="A69" s="199"/>
      <c r="B69" s="199" t="s">
        <v>309</v>
      </c>
      <c r="C69" s="238" t="s">
        <v>308</v>
      </c>
      <c r="D69" s="203">
        <v>772</v>
      </c>
      <c r="E69" s="198">
        <v>618</v>
      </c>
      <c r="F69" s="204">
        <f>E69/D69*100</f>
        <v>80.05181347150258</v>
      </c>
    </row>
    <row r="70" spans="1:6" ht="91.5" customHeight="1">
      <c r="A70" s="199"/>
      <c r="B70" s="199" t="s">
        <v>307</v>
      </c>
      <c r="C70" s="238" t="s">
        <v>306</v>
      </c>
      <c r="D70" s="199">
        <v>22.2</v>
      </c>
      <c r="E70" s="198">
        <v>21</v>
      </c>
      <c r="F70" s="204">
        <f>E70/D70*100</f>
        <v>94.5945945945946</v>
      </c>
    </row>
    <row r="71" spans="1:6" ht="87" customHeight="1">
      <c r="A71" s="199"/>
      <c r="B71" s="199" t="s">
        <v>457</v>
      </c>
      <c r="C71" s="238" t="s">
        <v>308</v>
      </c>
      <c r="D71" s="199">
        <v>0</v>
      </c>
      <c r="E71" s="198">
        <v>490</v>
      </c>
      <c r="F71" s="204" t="s">
        <v>463</v>
      </c>
    </row>
    <row r="72" spans="1:6" ht="82.5" customHeight="1">
      <c r="A72" s="199"/>
      <c r="B72" s="199" t="s">
        <v>458</v>
      </c>
      <c r="C72" s="238" t="s">
        <v>459</v>
      </c>
      <c r="D72" s="199">
        <v>0</v>
      </c>
      <c r="E72" s="198">
        <v>171.29</v>
      </c>
      <c r="F72" s="204" t="s">
        <v>463</v>
      </c>
    </row>
    <row r="73" spans="1:6" ht="12.75" customHeight="1">
      <c r="A73" s="199" t="s">
        <v>305</v>
      </c>
      <c r="B73" s="199" t="s">
        <v>304</v>
      </c>
      <c r="C73" s="199" t="s">
        <v>303</v>
      </c>
      <c r="D73" s="199">
        <v>0</v>
      </c>
      <c r="E73" s="198">
        <v>0</v>
      </c>
      <c r="F73" s="204">
        <v>0</v>
      </c>
    </row>
    <row r="74" spans="1:6" ht="24" customHeight="1">
      <c r="A74" s="199" t="s">
        <v>63</v>
      </c>
      <c r="B74" s="199" t="s">
        <v>302</v>
      </c>
      <c r="C74" s="199" t="s">
        <v>301</v>
      </c>
      <c r="D74" s="199">
        <v>0</v>
      </c>
      <c r="E74" s="198">
        <v>0</v>
      </c>
      <c r="F74" s="204">
        <v>0</v>
      </c>
    </row>
    <row r="75" spans="1:6" ht="66" customHeight="1">
      <c r="A75" s="199"/>
      <c r="B75" s="199" t="s">
        <v>300</v>
      </c>
      <c r="C75" s="199" t="s">
        <v>299</v>
      </c>
      <c r="D75" s="199">
        <v>0</v>
      </c>
      <c r="E75" s="198">
        <v>0</v>
      </c>
      <c r="F75" s="204">
        <v>0</v>
      </c>
    </row>
    <row r="76" spans="1:6" ht="24" customHeight="1">
      <c r="A76" s="199" t="s">
        <v>298</v>
      </c>
      <c r="B76" s="199" t="s">
        <v>297</v>
      </c>
      <c r="C76" s="199" t="s">
        <v>296</v>
      </c>
      <c r="D76" s="199">
        <v>0</v>
      </c>
      <c r="E76" s="198">
        <v>0</v>
      </c>
      <c r="F76" s="204">
        <v>0</v>
      </c>
    </row>
    <row r="77" spans="1:6" ht="49.5" customHeight="1">
      <c r="A77" s="199"/>
      <c r="B77" s="199" t="s">
        <v>295</v>
      </c>
      <c r="C77" s="199" t="s">
        <v>293</v>
      </c>
      <c r="D77" s="199">
        <v>0</v>
      </c>
      <c r="E77" s="198">
        <v>0</v>
      </c>
      <c r="F77" s="204">
        <v>0</v>
      </c>
    </row>
    <row r="78" spans="1:6" ht="42.75" customHeight="1">
      <c r="A78" s="199"/>
      <c r="B78" s="199" t="s">
        <v>294</v>
      </c>
      <c r="C78" s="199" t="s">
        <v>293</v>
      </c>
      <c r="D78" s="199">
        <v>0</v>
      </c>
      <c r="E78" s="198">
        <v>0</v>
      </c>
      <c r="F78" s="204">
        <v>0</v>
      </c>
    </row>
    <row r="79" spans="1:6" ht="15" customHeight="1">
      <c r="A79" s="199" t="s">
        <v>292</v>
      </c>
      <c r="B79" s="199" t="s">
        <v>291</v>
      </c>
      <c r="C79" s="199" t="s">
        <v>290</v>
      </c>
      <c r="D79" s="199">
        <f>D80+D86+D88+D90</f>
        <v>23493.9</v>
      </c>
      <c r="E79" s="198">
        <f>E80</f>
        <v>22224.07</v>
      </c>
      <c r="F79" s="204">
        <f>E79/D79*100</f>
        <v>94.5950651020052</v>
      </c>
    </row>
    <row r="80" spans="1:6" ht="60" customHeight="1">
      <c r="A80" s="199">
        <v>1</v>
      </c>
      <c r="B80" s="199" t="s">
        <v>289</v>
      </c>
      <c r="C80" s="199" t="s">
        <v>288</v>
      </c>
      <c r="D80" s="199">
        <f>SUM(D81:D85)</f>
        <v>23493.9</v>
      </c>
      <c r="E80" s="198">
        <f>E81+E82+E83+E84+E85</f>
        <v>22224.07</v>
      </c>
      <c r="F80" s="204">
        <f>E80/D80*100</f>
        <v>94.5950651020052</v>
      </c>
    </row>
    <row r="81" spans="1:6" ht="51" customHeight="1">
      <c r="A81" s="199"/>
      <c r="B81" s="199" t="s">
        <v>287</v>
      </c>
      <c r="C81" s="199" t="s">
        <v>286</v>
      </c>
      <c r="D81" s="203">
        <f>10125.3-125.3</f>
        <v>10000</v>
      </c>
      <c r="E81" s="198">
        <v>9826.73</v>
      </c>
      <c r="F81" s="204">
        <f>E81/D81*100</f>
        <v>98.26729999999999</v>
      </c>
    </row>
    <row r="82" spans="1:6" ht="100.5" customHeight="1">
      <c r="A82" s="199"/>
      <c r="B82" s="199" t="s">
        <v>285</v>
      </c>
      <c r="C82" s="199" t="s">
        <v>284</v>
      </c>
      <c r="D82" s="199">
        <v>4106.2</v>
      </c>
      <c r="E82" s="198">
        <v>4106.2</v>
      </c>
      <c r="F82" s="204">
        <f>E82/D82*100</f>
        <v>100</v>
      </c>
    </row>
    <row r="83" spans="1:6" ht="144" customHeight="1">
      <c r="A83" s="199"/>
      <c r="B83" s="199" t="s">
        <v>283</v>
      </c>
      <c r="C83" s="199" t="s">
        <v>282</v>
      </c>
      <c r="D83" s="199">
        <v>6</v>
      </c>
      <c r="E83" s="198">
        <v>6</v>
      </c>
      <c r="F83" s="204">
        <v>100</v>
      </c>
    </row>
    <row r="84" spans="1:6" ht="106.5" customHeight="1">
      <c r="A84" s="199"/>
      <c r="B84" s="199" t="s">
        <v>281</v>
      </c>
      <c r="C84" s="199" t="s">
        <v>280</v>
      </c>
      <c r="D84" s="199">
        <v>6793.1</v>
      </c>
      <c r="E84" s="198">
        <v>5763.5</v>
      </c>
      <c r="F84" s="204">
        <f>E84/D84*100</f>
        <v>84.84344408296653</v>
      </c>
    </row>
    <row r="85" spans="1:6" ht="67.5" customHeight="1">
      <c r="A85" s="199"/>
      <c r="B85" s="199" t="s">
        <v>279</v>
      </c>
      <c r="C85" s="199" t="s">
        <v>278</v>
      </c>
      <c r="D85" s="199">
        <v>2588.6</v>
      </c>
      <c r="E85" s="198">
        <v>2521.64</v>
      </c>
      <c r="F85" s="204">
        <f>E85/D85*100</f>
        <v>97.41327358417678</v>
      </c>
    </row>
    <row r="86" spans="1:6" ht="152.25" customHeight="1">
      <c r="A86" s="199">
        <v>2</v>
      </c>
      <c r="B86" s="199" t="s">
        <v>277</v>
      </c>
      <c r="C86" s="199" t="s">
        <v>276</v>
      </c>
      <c r="D86" s="199">
        <v>0</v>
      </c>
      <c r="E86" s="198">
        <v>0</v>
      </c>
      <c r="F86" s="204">
        <v>0</v>
      </c>
    </row>
    <row r="87" spans="1:6" ht="173.25" customHeight="1">
      <c r="A87" s="199"/>
      <c r="B87" s="199" t="s">
        <v>275</v>
      </c>
      <c r="C87" s="199" t="s">
        <v>274</v>
      </c>
      <c r="D87" s="199">
        <v>0</v>
      </c>
      <c r="E87" s="198">
        <v>0</v>
      </c>
      <c r="F87" s="204">
        <v>0</v>
      </c>
    </row>
    <row r="88" spans="1:6" ht="140.25" customHeight="1">
      <c r="A88" s="199">
        <v>3</v>
      </c>
      <c r="B88" s="199" t="s">
        <v>273</v>
      </c>
      <c r="C88" s="199" t="s">
        <v>272</v>
      </c>
      <c r="D88" s="199">
        <v>0</v>
      </c>
      <c r="E88" s="198">
        <v>0</v>
      </c>
      <c r="F88" s="204">
        <v>0</v>
      </c>
    </row>
    <row r="89" spans="1:6" ht="69" customHeight="1">
      <c r="A89" s="199"/>
      <c r="B89" s="199" t="s">
        <v>271</v>
      </c>
      <c r="C89" s="199" t="s">
        <v>270</v>
      </c>
      <c r="D89" s="199">
        <v>0</v>
      </c>
      <c r="E89" s="198">
        <v>0</v>
      </c>
      <c r="F89" s="204">
        <v>0</v>
      </c>
    </row>
    <row r="90" spans="1:6" ht="71.25" customHeight="1">
      <c r="A90" s="199">
        <v>4</v>
      </c>
      <c r="B90" s="199" t="s">
        <v>269</v>
      </c>
      <c r="C90" s="199" t="s">
        <v>268</v>
      </c>
      <c r="D90" s="199">
        <v>0</v>
      </c>
      <c r="E90" s="198">
        <v>0</v>
      </c>
      <c r="F90" s="204">
        <v>0</v>
      </c>
    </row>
    <row r="91" spans="1:6" ht="84.75" customHeight="1">
      <c r="A91" s="199"/>
      <c r="B91" s="199" t="s">
        <v>267</v>
      </c>
      <c r="C91" s="199" t="s">
        <v>266</v>
      </c>
      <c r="D91" s="199">
        <v>0</v>
      </c>
      <c r="E91" s="198">
        <v>0</v>
      </c>
      <c r="F91" s="204">
        <v>0</v>
      </c>
    </row>
    <row r="92" spans="1:6" ht="12.75">
      <c r="A92" s="199"/>
      <c r="B92" s="199"/>
      <c r="C92" s="199" t="s">
        <v>265</v>
      </c>
      <c r="D92" s="199">
        <f>D15+D79</f>
        <v>109926.29999999999</v>
      </c>
      <c r="E92" s="204">
        <v>109175.6</v>
      </c>
      <c r="F92" s="204">
        <f>E92/D92*100</f>
        <v>99.31708790344076</v>
      </c>
    </row>
  </sheetData>
  <sheetProtection/>
  <mergeCells count="41">
    <mergeCell ref="C1:F1"/>
    <mergeCell ref="C2:F2"/>
    <mergeCell ref="B3:F3"/>
    <mergeCell ref="C4:F4"/>
    <mergeCell ref="B5:F6"/>
    <mergeCell ref="F28:F29"/>
    <mergeCell ref="C28:C29"/>
    <mergeCell ref="C55:C57"/>
    <mergeCell ref="D55:D57"/>
    <mergeCell ref="D65:D66"/>
    <mergeCell ref="D28:D29"/>
    <mergeCell ref="F55:F57"/>
    <mergeCell ref="F49:F50"/>
    <mergeCell ref="C49:C50"/>
    <mergeCell ref="D49:D50"/>
    <mergeCell ref="A65:A66"/>
    <mergeCell ref="B65:B66"/>
    <mergeCell ref="C65:C66"/>
    <mergeCell ref="A49:A50"/>
    <mergeCell ref="B49:B50"/>
    <mergeCell ref="F62:F63"/>
    <mergeCell ref="F65:F66"/>
    <mergeCell ref="E55:E57"/>
    <mergeCell ref="E62:E63"/>
    <mergeCell ref="E65:E66"/>
    <mergeCell ref="D13:D14"/>
    <mergeCell ref="E13:E14"/>
    <mergeCell ref="F13:F14"/>
    <mergeCell ref="E28:E29"/>
    <mergeCell ref="E49:E50"/>
    <mergeCell ref="A13:A14"/>
    <mergeCell ref="B13:B14"/>
    <mergeCell ref="C13:C14"/>
    <mergeCell ref="A28:A29"/>
    <mergeCell ref="B28:B29"/>
    <mergeCell ref="A62:A63"/>
    <mergeCell ref="B62:B63"/>
    <mergeCell ref="C62:C63"/>
    <mergeCell ref="D62:D63"/>
    <mergeCell ref="B55:B57"/>
    <mergeCell ref="A55:A57"/>
  </mergeCells>
  <hyperlinks>
    <hyperlink ref="C67" r:id="rId1" display="consultantplus://offline/ref=BA8367C61548C2AFBF9E6FD402A88DD132E1B56AAFE142E0CE9D95665F554F312D528821FE7E34F0DBiFM"/>
    <hyperlink ref="C68" r:id="rId2" display="consultantplus://offline/ref=BA8367C61548C2AFBF9E6FD402A88DD132E1B56AAFE142E0CE9D95665F554F312D528821FE7E34F0DBiFM"/>
    <hyperlink ref="C69" r:id="rId3" display="consultantplus://offline/ref=37CB61848D3A6800D660F2D2E804EC401BB9181ED910B74777BA149D24DE935506BFA7761A0CC035lAh4M"/>
    <hyperlink ref="C70" r:id="rId4" display="consultantplus://offline/ref=4645F68FF4B25908A56D00841820D7831ED18FCDE99E9570B71166DD85CCDB57342F52CC786DCE3FpDgAM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2"/>
  <sheetViews>
    <sheetView zoomScalePageLayoutView="0" workbookViewId="0" topLeftCell="A1">
      <selection activeCell="B4" sqref="B4:K4"/>
    </sheetView>
  </sheetViews>
  <sheetFormatPr defaultColWidth="9.00390625" defaultRowHeight="12.75"/>
  <cols>
    <col min="1" max="1" width="6.75390625" style="0" customWidth="1"/>
    <col min="2" max="2" width="32.125" style="0" customWidth="1"/>
    <col min="3" max="3" width="6.125" style="0" customWidth="1"/>
    <col min="4" max="4" width="8.375" style="0" customWidth="1"/>
    <col min="5" max="5" width="10.75390625" style="0" customWidth="1"/>
    <col min="6" max="6" width="6.125" style="0" customWidth="1"/>
    <col min="7" max="7" width="7.375" style="0" hidden="1" customWidth="1"/>
    <col min="8" max="8" width="9.375" style="0" customWidth="1"/>
    <col min="9" max="9" width="9.125" style="0" hidden="1" customWidth="1"/>
    <col min="11" max="11" width="11.625" style="0" bestFit="1" customWidth="1"/>
  </cols>
  <sheetData>
    <row r="1" spans="1:11" ht="15" customHeight="1">
      <c r="A1" s="122"/>
      <c r="B1" s="187"/>
      <c r="C1" s="187"/>
      <c r="D1" s="252" t="s">
        <v>261</v>
      </c>
      <c r="E1" s="252"/>
      <c r="F1" s="252"/>
      <c r="G1" s="252"/>
      <c r="H1" s="252"/>
      <c r="I1" s="252"/>
      <c r="J1" s="252"/>
      <c r="K1" s="252"/>
    </row>
    <row r="2" spans="1:11" ht="15" customHeight="1">
      <c r="A2" s="122"/>
      <c r="B2" s="253" t="s">
        <v>234</v>
      </c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5" customHeight="1">
      <c r="A3" s="126"/>
      <c r="B3" s="253" t="s">
        <v>462</v>
      </c>
      <c r="C3" s="253"/>
      <c r="D3" s="253"/>
      <c r="E3" s="253"/>
      <c r="F3" s="253"/>
      <c r="G3" s="253"/>
      <c r="H3" s="253"/>
      <c r="I3" s="253"/>
      <c r="J3" s="253"/>
      <c r="K3" s="253"/>
    </row>
    <row r="4" spans="1:11" ht="15" customHeight="1">
      <c r="A4" s="126"/>
      <c r="B4" s="253" t="s">
        <v>509</v>
      </c>
      <c r="C4" s="253"/>
      <c r="D4" s="253"/>
      <c r="E4" s="253"/>
      <c r="F4" s="253"/>
      <c r="G4" s="253"/>
      <c r="H4" s="253"/>
      <c r="I4" s="253"/>
      <c r="J4" s="253"/>
      <c r="K4" s="253"/>
    </row>
    <row r="5" spans="1:11" ht="24" customHeight="1">
      <c r="A5" s="126"/>
      <c r="B5" s="250" t="s">
        <v>507</v>
      </c>
      <c r="C5" s="250"/>
      <c r="D5" s="250"/>
      <c r="E5" s="250"/>
      <c r="F5" s="250"/>
      <c r="G5" s="250"/>
      <c r="H5" s="250"/>
      <c r="I5" s="250"/>
      <c r="J5" s="250"/>
      <c r="K5" s="250"/>
    </row>
    <row r="6" spans="1:8" ht="24" customHeight="1">
      <c r="A6" s="126"/>
      <c r="B6" s="190"/>
      <c r="C6" s="190"/>
      <c r="D6" s="190"/>
      <c r="E6" s="190"/>
      <c r="F6" s="197"/>
      <c r="G6" s="197"/>
      <c r="H6" s="197"/>
    </row>
    <row r="7" spans="1:8" ht="12.75">
      <c r="A7" s="126"/>
      <c r="B7" s="2"/>
      <c r="C7" s="125" t="s">
        <v>481</v>
      </c>
      <c r="D7" s="142"/>
      <c r="E7" s="123"/>
      <c r="F7" s="123"/>
      <c r="G7" s="123"/>
      <c r="H7" s="123"/>
    </row>
    <row r="8" spans="1:8" ht="12.75">
      <c r="A8" s="128"/>
      <c r="B8" s="122"/>
      <c r="C8" s="125" t="s">
        <v>482</v>
      </c>
      <c r="D8" s="122"/>
      <c r="E8" s="192"/>
      <c r="F8" s="192"/>
      <c r="G8" s="192"/>
      <c r="H8" s="192"/>
    </row>
    <row r="9" spans="1:8" ht="12.75">
      <c r="A9" s="130"/>
      <c r="B9" s="122"/>
      <c r="C9" s="125" t="s">
        <v>483</v>
      </c>
      <c r="D9" s="122"/>
      <c r="E9" s="192"/>
      <c r="F9" s="192"/>
      <c r="G9" s="192"/>
      <c r="H9" s="192"/>
    </row>
    <row r="10" spans="1:8" ht="12.75">
      <c r="A10" s="130"/>
      <c r="B10" s="251" t="s">
        <v>480</v>
      </c>
      <c r="C10" s="251"/>
      <c r="D10" s="251"/>
      <c r="E10" s="251"/>
      <c r="F10" s="251"/>
      <c r="G10" s="192"/>
      <c r="H10" s="192"/>
    </row>
    <row r="11" spans="1:11" ht="51">
      <c r="A11" s="15" t="s">
        <v>75</v>
      </c>
      <c r="B11" s="239" t="s">
        <v>76</v>
      </c>
      <c r="C11" s="231" t="s">
        <v>77</v>
      </c>
      <c r="D11" s="240" t="s">
        <v>219</v>
      </c>
      <c r="E11" s="241" t="s">
        <v>78</v>
      </c>
      <c r="F11" s="231" t="s">
        <v>220</v>
      </c>
      <c r="G11" s="231" t="s">
        <v>222</v>
      </c>
      <c r="H11" s="242" t="s">
        <v>491</v>
      </c>
      <c r="I11" s="243"/>
      <c r="J11" s="191" t="s">
        <v>492</v>
      </c>
      <c r="K11" s="191" t="s">
        <v>493</v>
      </c>
    </row>
    <row r="12" spans="1:11" ht="45.75" hidden="1" thickBot="1">
      <c r="A12" s="170"/>
      <c r="B12" s="171" t="s">
        <v>262</v>
      </c>
      <c r="C12" s="172" t="s">
        <v>82</v>
      </c>
      <c r="D12" s="173"/>
      <c r="E12" s="173"/>
      <c r="F12" s="172"/>
      <c r="G12" s="172"/>
      <c r="H12" s="174">
        <f>H13</f>
        <v>3507.6999999999994</v>
      </c>
      <c r="J12" s="182">
        <f>J13</f>
        <v>3507.2</v>
      </c>
      <c r="K12" s="182">
        <f>J12/H12*100</f>
        <v>99.98574564529466</v>
      </c>
    </row>
    <row r="13" spans="1:11" ht="12.75">
      <c r="A13" s="106" t="s">
        <v>0</v>
      </c>
      <c r="B13" s="193" t="s">
        <v>1</v>
      </c>
      <c r="C13" s="107">
        <v>928</v>
      </c>
      <c r="D13" s="106" t="s">
        <v>80</v>
      </c>
      <c r="E13" s="106"/>
      <c r="F13" s="107"/>
      <c r="G13" s="107"/>
      <c r="H13" s="133">
        <f>H14+H22</f>
        <v>3507.6999999999994</v>
      </c>
      <c r="I13" s="194"/>
      <c r="J13" s="195">
        <f>J14+J22</f>
        <v>3507.2</v>
      </c>
      <c r="K13" s="195">
        <f>J13/H13*100</f>
        <v>99.98574564529466</v>
      </c>
    </row>
    <row r="14" spans="1:11" ht="46.5" customHeight="1">
      <c r="A14" s="196" t="s">
        <v>2</v>
      </c>
      <c r="B14" s="207" t="s">
        <v>3</v>
      </c>
      <c r="C14" s="208">
        <v>928</v>
      </c>
      <c r="D14" s="207" t="s">
        <v>79</v>
      </c>
      <c r="E14" s="207"/>
      <c r="F14" s="208"/>
      <c r="G14" s="208"/>
      <c r="H14" s="236">
        <f>H15</f>
        <v>1220.5</v>
      </c>
      <c r="I14" s="209"/>
      <c r="J14" s="209">
        <f>J15</f>
        <v>1220.4</v>
      </c>
      <c r="K14" s="210">
        <f>J14/H14*100</f>
        <v>99.99180663662433</v>
      </c>
    </row>
    <row r="15" spans="1:11" ht="12.75">
      <c r="A15" s="106" t="s">
        <v>4</v>
      </c>
      <c r="B15" s="211" t="s">
        <v>5</v>
      </c>
      <c r="C15" s="206">
        <v>928</v>
      </c>
      <c r="D15" s="211" t="s">
        <v>79</v>
      </c>
      <c r="E15" s="211" t="s">
        <v>167</v>
      </c>
      <c r="F15" s="206"/>
      <c r="G15" s="206"/>
      <c r="H15" s="212">
        <f>H16</f>
        <v>1220.5</v>
      </c>
      <c r="I15" s="209"/>
      <c r="J15" s="209">
        <f>J16</f>
        <v>1220.4</v>
      </c>
      <c r="K15" s="210">
        <f>J15/H15*100</f>
        <v>99.99180663662433</v>
      </c>
    </row>
    <row r="16" spans="1:11" ht="76.5" customHeight="1">
      <c r="A16" s="106" t="s">
        <v>106</v>
      </c>
      <c r="B16" s="211" t="s">
        <v>105</v>
      </c>
      <c r="C16" s="206">
        <v>928</v>
      </c>
      <c r="D16" s="211" t="s">
        <v>79</v>
      </c>
      <c r="E16" s="211" t="s">
        <v>167</v>
      </c>
      <c r="F16" s="206">
        <v>100</v>
      </c>
      <c r="G16" s="206" t="s">
        <v>82</v>
      </c>
      <c r="H16" s="212">
        <f>'НЕ УДАЛЯТЬ'!H16</f>
        <v>1220.5</v>
      </c>
      <c r="I16" s="209"/>
      <c r="J16" s="209">
        <v>1220.4</v>
      </c>
      <c r="K16" s="210">
        <f>J16/H16*100</f>
        <v>99.99180663662433</v>
      </c>
    </row>
    <row r="17" spans="1:11" ht="22.5" hidden="1">
      <c r="A17" s="106"/>
      <c r="B17" s="211" t="s">
        <v>6</v>
      </c>
      <c r="C17" s="206">
        <v>928</v>
      </c>
      <c r="D17" s="211" t="s">
        <v>79</v>
      </c>
      <c r="E17" s="211" t="s">
        <v>167</v>
      </c>
      <c r="F17" s="206">
        <v>120</v>
      </c>
      <c r="G17" s="206"/>
      <c r="H17" s="212">
        <f>H18+H20</f>
        <v>1219.1</v>
      </c>
      <c r="I17" s="209"/>
      <c r="J17" s="209"/>
      <c r="K17" s="210"/>
    </row>
    <row r="18" spans="1:11" ht="22.5" hidden="1">
      <c r="A18" s="106"/>
      <c r="B18" s="211" t="s">
        <v>210</v>
      </c>
      <c r="C18" s="206">
        <v>928</v>
      </c>
      <c r="D18" s="211" t="s">
        <v>79</v>
      </c>
      <c r="E18" s="211" t="s">
        <v>167</v>
      </c>
      <c r="F18" s="206">
        <v>121</v>
      </c>
      <c r="G18" s="206"/>
      <c r="H18" s="212">
        <f>H19</f>
        <v>942.5</v>
      </c>
      <c r="I18" s="209"/>
      <c r="J18" s="209"/>
      <c r="K18" s="210"/>
    </row>
    <row r="19" spans="1:11" ht="12.75" hidden="1">
      <c r="A19" s="106"/>
      <c r="B19" s="211" t="s">
        <v>206</v>
      </c>
      <c r="C19" s="206">
        <v>928</v>
      </c>
      <c r="D19" s="211" t="s">
        <v>79</v>
      </c>
      <c r="E19" s="211" t="s">
        <v>167</v>
      </c>
      <c r="F19" s="206">
        <v>121</v>
      </c>
      <c r="G19" s="206">
        <v>211</v>
      </c>
      <c r="H19" s="212">
        <v>942.5</v>
      </c>
      <c r="I19" s="209"/>
      <c r="J19" s="209"/>
      <c r="K19" s="210"/>
    </row>
    <row r="20" spans="1:11" ht="56.25" hidden="1">
      <c r="A20" s="106"/>
      <c r="B20" s="211" t="s">
        <v>209</v>
      </c>
      <c r="C20" s="206">
        <v>928</v>
      </c>
      <c r="D20" s="211" t="s">
        <v>79</v>
      </c>
      <c r="E20" s="211" t="s">
        <v>167</v>
      </c>
      <c r="F20" s="206">
        <v>129</v>
      </c>
      <c r="G20" s="206"/>
      <c r="H20" s="212">
        <f>H21</f>
        <v>276.6</v>
      </c>
      <c r="I20" s="209"/>
      <c r="J20" s="209"/>
      <c r="K20" s="210"/>
    </row>
    <row r="21" spans="1:12" ht="12.75" hidden="1">
      <c r="A21" s="106"/>
      <c r="B21" s="211" t="s">
        <v>207</v>
      </c>
      <c r="C21" s="206">
        <v>928</v>
      </c>
      <c r="D21" s="211" t="s">
        <v>79</v>
      </c>
      <c r="E21" s="211" t="s">
        <v>167</v>
      </c>
      <c r="F21" s="206">
        <v>129</v>
      </c>
      <c r="G21" s="206">
        <v>213</v>
      </c>
      <c r="H21" s="212">
        <f>260.6+16</f>
        <v>276.6</v>
      </c>
      <c r="I21" s="209"/>
      <c r="J21" s="209"/>
      <c r="K21" s="210"/>
      <c r="L21">
        <v>16</v>
      </c>
    </row>
    <row r="22" spans="1:11" ht="59.25" customHeight="1">
      <c r="A22" s="196" t="s">
        <v>7</v>
      </c>
      <c r="B22" s="208" t="s">
        <v>8</v>
      </c>
      <c r="C22" s="208">
        <v>928</v>
      </c>
      <c r="D22" s="207" t="s">
        <v>81</v>
      </c>
      <c r="E22" s="207"/>
      <c r="F22" s="208"/>
      <c r="G22" s="208"/>
      <c r="H22" s="236">
        <f>H23+H28+H45</f>
        <v>2287.1999999999994</v>
      </c>
      <c r="I22" s="209"/>
      <c r="J22" s="210">
        <f>J23+J28+J45</f>
        <v>2286.7999999999997</v>
      </c>
      <c r="K22" s="210">
        <f>J22/H22*100</f>
        <v>99.98251136761107</v>
      </c>
    </row>
    <row r="23" spans="1:11" ht="37.5" customHeight="1">
      <c r="A23" s="106" t="s">
        <v>103</v>
      </c>
      <c r="B23" s="206" t="s">
        <v>10</v>
      </c>
      <c r="C23" s="206">
        <v>928</v>
      </c>
      <c r="D23" s="211" t="s">
        <v>81</v>
      </c>
      <c r="E23" s="211" t="s">
        <v>168</v>
      </c>
      <c r="F23" s="206"/>
      <c r="G23" s="206"/>
      <c r="H23" s="212">
        <f>'НЕ УДАЛЯТЬ'!H22</f>
        <v>265.2</v>
      </c>
      <c r="I23" s="209"/>
      <c r="J23" s="210">
        <f>H23</f>
        <v>265.2</v>
      </c>
      <c r="K23" s="210">
        <f>J23/H23*100</f>
        <v>100</v>
      </c>
    </row>
    <row r="24" spans="1:11" ht="75.75" customHeight="1">
      <c r="A24" s="106" t="s">
        <v>107</v>
      </c>
      <c r="B24" s="206" t="s">
        <v>105</v>
      </c>
      <c r="C24" s="206">
        <v>928</v>
      </c>
      <c r="D24" s="211" t="s">
        <v>81</v>
      </c>
      <c r="E24" s="211" t="s">
        <v>168</v>
      </c>
      <c r="F24" s="206">
        <v>100</v>
      </c>
      <c r="G24" s="206"/>
      <c r="H24" s="212">
        <f>'НЕ УДАЛЯТЬ'!H23</f>
        <v>265.2</v>
      </c>
      <c r="I24" s="209"/>
      <c r="J24" s="210">
        <f>H24</f>
        <v>265.2</v>
      </c>
      <c r="K24" s="210">
        <f>J24/H24*100</f>
        <v>100</v>
      </c>
    </row>
    <row r="25" spans="1:11" ht="22.5" hidden="1">
      <c r="A25" s="106"/>
      <c r="B25" s="211" t="s">
        <v>6</v>
      </c>
      <c r="C25" s="206">
        <v>928</v>
      </c>
      <c r="D25" s="211" t="s">
        <v>81</v>
      </c>
      <c r="E25" s="211" t="s">
        <v>168</v>
      </c>
      <c r="F25" s="206">
        <v>120</v>
      </c>
      <c r="G25" s="206"/>
      <c r="H25" s="212">
        <f>H26</f>
        <v>280.8</v>
      </c>
      <c r="I25" s="209"/>
      <c r="J25" s="209"/>
      <c r="K25" s="210"/>
    </row>
    <row r="26" spans="1:11" ht="56.25" hidden="1">
      <c r="A26" s="106"/>
      <c r="B26" s="211" t="s">
        <v>241</v>
      </c>
      <c r="C26" s="206">
        <v>928</v>
      </c>
      <c r="D26" s="211" t="s">
        <v>81</v>
      </c>
      <c r="E26" s="211" t="s">
        <v>168</v>
      </c>
      <c r="F26" s="206">
        <v>123</v>
      </c>
      <c r="G26" s="206"/>
      <c r="H26" s="212">
        <f>H27</f>
        <v>280.8</v>
      </c>
      <c r="I26" s="209"/>
      <c r="J26" s="209"/>
      <c r="K26" s="210"/>
    </row>
    <row r="27" spans="1:11" ht="12.75" hidden="1">
      <c r="A27" s="106"/>
      <c r="B27" s="211" t="s">
        <v>208</v>
      </c>
      <c r="C27" s="206">
        <v>928</v>
      </c>
      <c r="D27" s="211" t="s">
        <v>81</v>
      </c>
      <c r="E27" s="211" t="s">
        <v>168</v>
      </c>
      <c r="F27" s="206">
        <v>123</v>
      </c>
      <c r="G27" s="206">
        <v>226</v>
      </c>
      <c r="H27" s="212">
        <f>285.8-5</f>
        <v>280.8</v>
      </c>
      <c r="I27" s="209"/>
      <c r="J27" s="209"/>
      <c r="K27" s="210">
        <v>2</v>
      </c>
    </row>
    <row r="28" spans="1:11" ht="36" customHeight="1">
      <c r="A28" s="106" t="s">
        <v>9</v>
      </c>
      <c r="B28" s="206" t="s">
        <v>12</v>
      </c>
      <c r="C28" s="206">
        <v>928</v>
      </c>
      <c r="D28" s="211" t="s">
        <v>81</v>
      </c>
      <c r="E28" s="211" t="s">
        <v>170</v>
      </c>
      <c r="F28" s="206"/>
      <c r="G28" s="206"/>
      <c r="H28" s="212">
        <f>'НЕ УДАЛЯТЬ'!H27</f>
        <v>1949.2999999999997</v>
      </c>
      <c r="I28" s="209"/>
      <c r="J28" s="209">
        <f>J29+J35</f>
        <v>1949</v>
      </c>
      <c r="K28" s="210">
        <f>J28/H28*100</f>
        <v>99.98460985994974</v>
      </c>
    </row>
    <row r="29" spans="1:11" ht="67.5">
      <c r="A29" s="106" t="s">
        <v>11</v>
      </c>
      <c r="B29" s="206" t="s">
        <v>105</v>
      </c>
      <c r="C29" s="206">
        <v>928</v>
      </c>
      <c r="D29" s="211" t="s">
        <v>81</v>
      </c>
      <c r="E29" s="211" t="s">
        <v>170</v>
      </c>
      <c r="F29" s="206">
        <v>100</v>
      </c>
      <c r="G29" s="206"/>
      <c r="H29" s="212">
        <f>'НЕ УДАЛЯТЬ'!H28</f>
        <v>1572.6</v>
      </c>
      <c r="I29" s="209"/>
      <c r="J29" s="209">
        <v>1572.5</v>
      </c>
      <c r="K29" s="210">
        <f>J29/H29*100</f>
        <v>99.99364110390437</v>
      </c>
    </row>
    <row r="30" spans="1:11" ht="22.5" hidden="1">
      <c r="A30" s="106"/>
      <c r="B30" s="211" t="s">
        <v>6</v>
      </c>
      <c r="C30" s="206">
        <v>928</v>
      </c>
      <c r="D30" s="211" t="s">
        <v>81</v>
      </c>
      <c r="E30" s="211" t="s">
        <v>170</v>
      </c>
      <c r="F30" s="206">
        <v>120</v>
      </c>
      <c r="G30" s="206"/>
      <c r="H30" s="212">
        <f>H31+H33</f>
        <v>1592.2</v>
      </c>
      <c r="I30" s="209"/>
      <c r="J30" s="209"/>
      <c r="K30" s="210"/>
    </row>
    <row r="31" spans="1:11" ht="22.5" hidden="1">
      <c r="A31" s="106"/>
      <c r="B31" s="211" t="s">
        <v>210</v>
      </c>
      <c r="C31" s="206">
        <v>928</v>
      </c>
      <c r="D31" s="211" t="s">
        <v>81</v>
      </c>
      <c r="E31" s="211" t="s">
        <v>170</v>
      </c>
      <c r="F31" s="206">
        <v>121</v>
      </c>
      <c r="G31" s="206"/>
      <c r="H31" s="212">
        <f>H32</f>
        <v>1166</v>
      </c>
      <c r="I31" s="209"/>
      <c r="J31" s="209"/>
      <c r="K31" s="210"/>
    </row>
    <row r="32" spans="1:11" ht="12.75" hidden="1">
      <c r="A32" s="106"/>
      <c r="B32" s="211" t="s">
        <v>206</v>
      </c>
      <c r="C32" s="206">
        <v>928</v>
      </c>
      <c r="D32" s="211" t="s">
        <v>81</v>
      </c>
      <c r="E32" s="211" t="s">
        <v>170</v>
      </c>
      <c r="F32" s="206">
        <v>121</v>
      </c>
      <c r="G32" s="206">
        <v>211</v>
      </c>
      <c r="H32" s="212">
        <f>1093.3+72.7</f>
        <v>1166</v>
      </c>
      <c r="I32" s="209"/>
      <c r="J32" s="209"/>
      <c r="K32" s="210"/>
    </row>
    <row r="33" spans="1:11" ht="56.25" hidden="1">
      <c r="A33" s="106"/>
      <c r="B33" s="211" t="s">
        <v>209</v>
      </c>
      <c r="C33" s="206">
        <v>928</v>
      </c>
      <c r="D33" s="211" t="s">
        <v>81</v>
      </c>
      <c r="E33" s="211" t="s">
        <v>170</v>
      </c>
      <c r="F33" s="206">
        <v>129</v>
      </c>
      <c r="G33" s="206"/>
      <c r="H33" s="212">
        <f>H34</f>
        <v>426.2</v>
      </c>
      <c r="I33" s="209"/>
      <c r="J33" s="209"/>
      <c r="K33" s="210"/>
    </row>
    <row r="34" spans="1:11" ht="21.75" customHeight="1" hidden="1">
      <c r="A34" s="106"/>
      <c r="B34" s="211" t="s">
        <v>207</v>
      </c>
      <c r="C34" s="206">
        <v>928</v>
      </c>
      <c r="D34" s="211" t="s">
        <v>81</v>
      </c>
      <c r="E34" s="211" t="s">
        <v>170</v>
      </c>
      <c r="F34" s="206">
        <v>129</v>
      </c>
      <c r="G34" s="206">
        <v>213</v>
      </c>
      <c r="H34" s="212">
        <f>330.2+22+74</f>
        <v>426.2</v>
      </c>
      <c r="I34" s="209"/>
      <c r="J34" s="209"/>
      <c r="K34" s="210"/>
    </row>
    <row r="35" spans="1:11" ht="29.25" customHeight="1">
      <c r="A35" s="106" t="s">
        <v>204</v>
      </c>
      <c r="B35" s="206" t="s">
        <v>24</v>
      </c>
      <c r="C35" s="206">
        <v>928</v>
      </c>
      <c r="D35" s="211" t="s">
        <v>81</v>
      </c>
      <c r="E35" s="211" t="s">
        <v>170</v>
      </c>
      <c r="F35" s="206">
        <v>200</v>
      </c>
      <c r="G35" s="206"/>
      <c r="H35" s="212">
        <f>'НЕ УДАЛЯТЬ'!H34</f>
        <v>376.69999999999993</v>
      </c>
      <c r="I35" s="209"/>
      <c r="J35" s="209">
        <v>376.5</v>
      </c>
      <c r="K35" s="210">
        <f>J35/H35*100</f>
        <v>99.94690735333158</v>
      </c>
    </row>
    <row r="36" spans="1:11" ht="33.75" hidden="1">
      <c r="A36" s="106"/>
      <c r="B36" s="206" t="s">
        <v>108</v>
      </c>
      <c r="C36" s="206">
        <v>928</v>
      </c>
      <c r="D36" s="211" t="s">
        <v>81</v>
      </c>
      <c r="E36" s="211" t="s">
        <v>170</v>
      </c>
      <c r="F36" s="206">
        <v>240</v>
      </c>
      <c r="G36" s="206"/>
      <c r="H36" s="212">
        <f>H37+H39</f>
        <v>364.29999999999995</v>
      </c>
      <c r="I36" s="209"/>
      <c r="J36" s="209"/>
      <c r="K36" s="210"/>
    </row>
    <row r="37" spans="1:11" ht="33.75" hidden="1">
      <c r="A37" s="106"/>
      <c r="B37" s="206" t="s">
        <v>202</v>
      </c>
      <c r="C37" s="206">
        <v>928</v>
      </c>
      <c r="D37" s="211" t="s">
        <v>81</v>
      </c>
      <c r="E37" s="211" t="s">
        <v>170</v>
      </c>
      <c r="F37" s="206">
        <v>242</v>
      </c>
      <c r="G37" s="206"/>
      <c r="H37" s="212">
        <f>H38</f>
        <v>34</v>
      </c>
      <c r="I37" s="209"/>
      <c r="J37" s="209"/>
      <c r="K37" s="210"/>
    </row>
    <row r="38" spans="1:11" ht="12.75" hidden="1">
      <c r="A38" s="106"/>
      <c r="B38" s="206" t="s">
        <v>211</v>
      </c>
      <c r="C38" s="206">
        <v>928</v>
      </c>
      <c r="D38" s="211" t="s">
        <v>81</v>
      </c>
      <c r="E38" s="211" t="s">
        <v>170</v>
      </c>
      <c r="F38" s="206">
        <v>242</v>
      </c>
      <c r="G38" s="206">
        <v>221</v>
      </c>
      <c r="H38" s="212">
        <f>200-166</f>
        <v>34</v>
      </c>
      <c r="I38" s="209"/>
      <c r="J38" s="209"/>
      <c r="K38" s="210"/>
    </row>
    <row r="39" spans="1:11" ht="33.75" hidden="1">
      <c r="A39" s="106"/>
      <c r="B39" s="206" t="s">
        <v>199</v>
      </c>
      <c r="C39" s="206">
        <v>928</v>
      </c>
      <c r="D39" s="211" t="s">
        <v>81</v>
      </c>
      <c r="E39" s="211" t="s">
        <v>170</v>
      </c>
      <c r="F39" s="206">
        <v>244</v>
      </c>
      <c r="G39" s="206"/>
      <c r="H39" s="213">
        <f>H40+H41+H42+H43+H44</f>
        <v>330.29999999999995</v>
      </c>
      <c r="I39" s="209"/>
      <c r="J39" s="209"/>
      <c r="K39" s="210"/>
    </row>
    <row r="40" spans="1:11" ht="10.5" customHeight="1" hidden="1">
      <c r="A40" s="106"/>
      <c r="B40" s="206" t="s">
        <v>212</v>
      </c>
      <c r="C40" s="206">
        <v>928</v>
      </c>
      <c r="D40" s="211" t="s">
        <v>81</v>
      </c>
      <c r="E40" s="211" t="s">
        <v>170</v>
      </c>
      <c r="F40" s="206">
        <v>244</v>
      </c>
      <c r="G40" s="206">
        <v>223</v>
      </c>
      <c r="H40" s="213">
        <f>114+21.2</f>
        <v>135.2</v>
      </c>
      <c r="I40" s="209"/>
      <c r="J40" s="209"/>
      <c r="K40" s="210"/>
    </row>
    <row r="41" spans="1:11" ht="12.75" hidden="1">
      <c r="A41" s="106"/>
      <c r="B41" s="206" t="s">
        <v>213</v>
      </c>
      <c r="C41" s="206">
        <v>928</v>
      </c>
      <c r="D41" s="211" t="s">
        <v>81</v>
      </c>
      <c r="E41" s="211" t="s">
        <v>170</v>
      </c>
      <c r="F41" s="206">
        <v>244</v>
      </c>
      <c r="G41" s="206">
        <v>225</v>
      </c>
      <c r="H41" s="213">
        <f>30+99.2</f>
        <v>129.2</v>
      </c>
      <c r="I41" s="209"/>
      <c r="J41" s="209"/>
      <c r="K41" s="210"/>
    </row>
    <row r="42" spans="1:12" ht="12.75" hidden="1">
      <c r="A42" s="106"/>
      <c r="B42" s="206" t="s">
        <v>208</v>
      </c>
      <c r="C42" s="206">
        <v>928</v>
      </c>
      <c r="D42" s="211" t="s">
        <v>81</v>
      </c>
      <c r="E42" s="211" t="s">
        <v>170</v>
      </c>
      <c r="F42" s="206">
        <v>244</v>
      </c>
      <c r="G42" s="206">
        <v>226</v>
      </c>
      <c r="H42" s="213">
        <f>56+54-45.6</f>
        <v>64.4</v>
      </c>
      <c r="I42" s="209"/>
      <c r="J42" s="209"/>
      <c r="K42" s="210"/>
      <c r="L42">
        <v>-45.6</v>
      </c>
    </row>
    <row r="43" spans="1:12" ht="12.75" hidden="1">
      <c r="A43" s="106"/>
      <c r="B43" s="206" t="s">
        <v>218</v>
      </c>
      <c r="C43" s="206">
        <v>928</v>
      </c>
      <c r="D43" s="211" t="s">
        <v>81</v>
      </c>
      <c r="E43" s="211" t="s">
        <v>170</v>
      </c>
      <c r="F43" s="206">
        <v>244</v>
      </c>
      <c r="G43" s="206">
        <v>310</v>
      </c>
      <c r="H43" s="213">
        <f>20-18.5</f>
        <v>1.5</v>
      </c>
      <c r="I43" s="209"/>
      <c r="J43" s="209"/>
      <c r="K43" s="210"/>
      <c r="L43">
        <v>-18.5</v>
      </c>
    </row>
    <row r="44" spans="1:12" ht="22.5" hidden="1">
      <c r="A44" s="106"/>
      <c r="B44" s="206" t="s">
        <v>217</v>
      </c>
      <c r="C44" s="206">
        <v>928</v>
      </c>
      <c r="D44" s="211" t="s">
        <v>81</v>
      </c>
      <c r="E44" s="211" t="s">
        <v>170</v>
      </c>
      <c r="F44" s="206">
        <v>244</v>
      </c>
      <c r="G44" s="206">
        <v>340</v>
      </c>
      <c r="H44" s="213">
        <f>100+4.5-104.5</f>
        <v>0</v>
      </c>
      <c r="I44" s="209"/>
      <c r="J44" s="209"/>
      <c r="K44" s="210">
        <v>2</v>
      </c>
      <c r="L44">
        <v>-104.5</v>
      </c>
    </row>
    <row r="45" spans="1:11" ht="23.25" customHeight="1">
      <c r="A45" s="106" t="s">
        <v>104</v>
      </c>
      <c r="B45" s="206" t="s">
        <v>13</v>
      </c>
      <c r="C45" s="206">
        <v>928</v>
      </c>
      <c r="D45" s="211" t="s">
        <v>81</v>
      </c>
      <c r="E45" s="211" t="s">
        <v>169</v>
      </c>
      <c r="F45" s="206"/>
      <c r="G45" s="206"/>
      <c r="H45" s="212">
        <f>'НЕ УДАЛЯТЬ'!H44</f>
        <v>72.7</v>
      </c>
      <c r="I45" s="209"/>
      <c r="J45" s="210">
        <f>J46</f>
        <v>72.6</v>
      </c>
      <c r="K45" s="210">
        <f>K46</f>
        <v>100</v>
      </c>
    </row>
    <row r="46" spans="1:11" ht="22.5" customHeight="1">
      <c r="A46" s="106" t="s">
        <v>214</v>
      </c>
      <c r="B46" s="206" t="s">
        <v>109</v>
      </c>
      <c r="C46" s="206">
        <v>928</v>
      </c>
      <c r="D46" s="211" t="s">
        <v>81</v>
      </c>
      <c r="E46" s="211" t="s">
        <v>169</v>
      </c>
      <c r="F46" s="206">
        <v>800</v>
      </c>
      <c r="G46" s="206"/>
      <c r="H46" s="212">
        <f>H47</f>
        <v>72.7</v>
      </c>
      <c r="I46" s="209"/>
      <c r="J46" s="210">
        <f>J47</f>
        <v>72.6</v>
      </c>
      <c r="K46" s="210">
        <f>K47</f>
        <v>100</v>
      </c>
    </row>
    <row r="47" spans="1:11" ht="12.75">
      <c r="A47" s="106"/>
      <c r="B47" s="206" t="s">
        <v>14</v>
      </c>
      <c r="C47" s="206">
        <v>928</v>
      </c>
      <c r="D47" s="211" t="s">
        <v>81</v>
      </c>
      <c r="E47" s="211" t="s">
        <v>169</v>
      </c>
      <c r="F47" s="206">
        <v>850</v>
      </c>
      <c r="G47" s="206"/>
      <c r="H47" s="212">
        <f>H48+H50-2.1</f>
        <v>72.7</v>
      </c>
      <c r="I47" s="209"/>
      <c r="J47" s="210">
        <v>72.6</v>
      </c>
      <c r="K47" s="210">
        <v>100</v>
      </c>
    </row>
    <row r="48" spans="1:11" ht="22.5" hidden="1">
      <c r="A48" s="106"/>
      <c r="B48" s="206" t="s">
        <v>252</v>
      </c>
      <c r="C48" s="206">
        <v>928</v>
      </c>
      <c r="D48" s="211" t="s">
        <v>81</v>
      </c>
      <c r="E48" s="211" t="s">
        <v>169</v>
      </c>
      <c r="F48" s="206">
        <v>851</v>
      </c>
      <c r="G48" s="206"/>
      <c r="H48" s="212">
        <f>H49</f>
        <v>0.5</v>
      </c>
      <c r="I48" s="209"/>
      <c r="J48" s="209"/>
      <c r="K48" s="210"/>
    </row>
    <row r="49" spans="1:11" ht="12.75" hidden="1">
      <c r="A49" s="106"/>
      <c r="B49" s="206" t="s">
        <v>203</v>
      </c>
      <c r="C49" s="206">
        <v>928</v>
      </c>
      <c r="D49" s="211" t="s">
        <v>81</v>
      </c>
      <c r="E49" s="211" t="s">
        <v>169</v>
      </c>
      <c r="F49" s="206">
        <v>851</v>
      </c>
      <c r="G49" s="206">
        <v>290</v>
      </c>
      <c r="H49" s="212">
        <v>0.5</v>
      </c>
      <c r="I49" s="209"/>
      <c r="J49" s="209"/>
      <c r="K49" s="210">
        <v>2</v>
      </c>
    </row>
    <row r="50" spans="1:11" ht="12.75" hidden="1">
      <c r="A50" s="106"/>
      <c r="B50" s="206" t="s">
        <v>215</v>
      </c>
      <c r="C50" s="206">
        <v>928</v>
      </c>
      <c r="D50" s="211" t="s">
        <v>81</v>
      </c>
      <c r="E50" s="211" t="s">
        <v>169</v>
      </c>
      <c r="F50" s="206">
        <v>853</v>
      </c>
      <c r="G50" s="206"/>
      <c r="H50" s="212">
        <f>H51</f>
        <v>74.3</v>
      </c>
      <c r="I50" s="209"/>
      <c r="J50" s="209"/>
      <c r="K50" s="210"/>
    </row>
    <row r="51" spans="1:11" ht="12.75" hidden="1">
      <c r="A51" s="106"/>
      <c r="B51" s="206" t="s">
        <v>203</v>
      </c>
      <c r="C51" s="206">
        <v>928</v>
      </c>
      <c r="D51" s="211" t="s">
        <v>81</v>
      </c>
      <c r="E51" s="211" t="s">
        <v>169</v>
      </c>
      <c r="F51" s="206">
        <v>853</v>
      </c>
      <c r="G51" s="206">
        <v>290</v>
      </c>
      <c r="H51" s="212">
        <v>74.3</v>
      </c>
      <c r="I51" s="209"/>
      <c r="J51" s="209"/>
      <c r="K51" s="210"/>
    </row>
    <row r="52" spans="1:11" ht="45" hidden="1">
      <c r="A52" s="196"/>
      <c r="B52" s="208" t="s">
        <v>263</v>
      </c>
      <c r="C52" s="208"/>
      <c r="D52" s="207"/>
      <c r="E52" s="207"/>
      <c r="F52" s="208"/>
      <c r="G52" s="208"/>
      <c r="H52" s="214">
        <f>H53+H186+H200+H268+H275+H288+H304+H314</f>
        <v>112084.72</v>
      </c>
      <c r="I52" s="209"/>
      <c r="J52" s="209"/>
      <c r="K52" s="210"/>
    </row>
    <row r="53" spans="1:11" ht="12.75">
      <c r="A53" s="106" t="s">
        <v>224</v>
      </c>
      <c r="B53" s="206" t="s">
        <v>1</v>
      </c>
      <c r="C53" s="206">
        <v>966</v>
      </c>
      <c r="D53" s="211" t="s">
        <v>80</v>
      </c>
      <c r="E53" s="211"/>
      <c r="F53" s="206"/>
      <c r="G53" s="206"/>
      <c r="H53" s="212">
        <f>H54+H120+H125</f>
        <v>31146.7</v>
      </c>
      <c r="I53" s="209"/>
      <c r="J53" s="210">
        <f>J54+J125</f>
        <v>31145.5</v>
      </c>
      <c r="K53" s="210">
        <f>J53/H53*100</f>
        <v>99.99614726439718</v>
      </c>
    </row>
    <row r="54" spans="1:11" ht="63.75" customHeight="1">
      <c r="A54" s="106" t="s">
        <v>15</v>
      </c>
      <c r="B54" s="206" t="s">
        <v>16</v>
      </c>
      <c r="C54" s="206">
        <v>966</v>
      </c>
      <c r="D54" s="211" t="s">
        <v>84</v>
      </c>
      <c r="E54" s="211"/>
      <c r="F54" s="206"/>
      <c r="G54" s="206"/>
      <c r="H54" s="212">
        <f>H55+H62+H96+H101</f>
        <v>28514.2</v>
      </c>
      <c r="I54" s="209"/>
      <c r="J54" s="210">
        <v>28513.3</v>
      </c>
      <c r="K54" s="210">
        <f>J54/H54*100</f>
        <v>99.9968436778868</v>
      </c>
    </row>
    <row r="55" spans="1:11" ht="12.75">
      <c r="A55" s="106" t="s">
        <v>17</v>
      </c>
      <c r="B55" s="206" t="s">
        <v>18</v>
      </c>
      <c r="C55" s="206">
        <v>966</v>
      </c>
      <c r="D55" s="211" t="s">
        <v>84</v>
      </c>
      <c r="E55" s="211" t="s">
        <v>171</v>
      </c>
      <c r="F55" s="206"/>
      <c r="G55" s="206"/>
      <c r="H55" s="212">
        <f>'НЕ УДАЛЯТЬ'!H54</f>
        <v>1175.7</v>
      </c>
      <c r="I55" s="209"/>
      <c r="J55" s="209">
        <f>J56</f>
        <v>1175.7</v>
      </c>
      <c r="K55" s="210">
        <v>100</v>
      </c>
    </row>
    <row r="56" spans="1:11" ht="75" customHeight="1">
      <c r="A56" s="106" t="s">
        <v>19</v>
      </c>
      <c r="B56" s="206" t="s">
        <v>105</v>
      </c>
      <c r="C56" s="206">
        <v>966</v>
      </c>
      <c r="D56" s="211" t="s">
        <v>84</v>
      </c>
      <c r="E56" s="211" t="s">
        <v>171</v>
      </c>
      <c r="F56" s="206">
        <v>100</v>
      </c>
      <c r="G56" s="206"/>
      <c r="H56" s="212">
        <f>'НЕ УДАЛЯТЬ'!H55</f>
        <v>1175.7</v>
      </c>
      <c r="I56" s="209"/>
      <c r="J56" s="209">
        <v>1175.7</v>
      </c>
      <c r="K56" s="210">
        <v>100</v>
      </c>
    </row>
    <row r="57" spans="1:11" ht="22.5" hidden="1">
      <c r="A57" s="106"/>
      <c r="B57" s="211" t="s">
        <v>6</v>
      </c>
      <c r="C57" s="206">
        <v>966</v>
      </c>
      <c r="D57" s="211" t="s">
        <v>84</v>
      </c>
      <c r="E57" s="211" t="s">
        <v>171</v>
      </c>
      <c r="F57" s="206">
        <v>120</v>
      </c>
      <c r="G57" s="206"/>
      <c r="H57" s="212">
        <f>H58+H60</f>
        <v>1203.1</v>
      </c>
      <c r="I57" s="209"/>
      <c r="J57" s="209"/>
      <c r="K57" s="209"/>
    </row>
    <row r="58" spans="1:11" ht="22.5" hidden="1">
      <c r="A58" s="106"/>
      <c r="B58" s="211" t="s">
        <v>210</v>
      </c>
      <c r="C58" s="206">
        <v>966</v>
      </c>
      <c r="D58" s="211" t="s">
        <v>84</v>
      </c>
      <c r="E58" s="211" t="s">
        <v>171</v>
      </c>
      <c r="F58" s="206">
        <v>121</v>
      </c>
      <c r="G58" s="206"/>
      <c r="H58" s="212">
        <f>H59</f>
        <v>942.5</v>
      </c>
      <c r="I58" s="209"/>
      <c r="J58" s="209"/>
      <c r="K58" s="209"/>
    </row>
    <row r="59" spans="1:11" ht="12.75" hidden="1">
      <c r="A59" s="106"/>
      <c r="B59" s="211" t="s">
        <v>206</v>
      </c>
      <c r="C59" s="206">
        <v>966</v>
      </c>
      <c r="D59" s="211" t="s">
        <v>84</v>
      </c>
      <c r="E59" s="211" t="s">
        <v>171</v>
      </c>
      <c r="F59" s="206">
        <v>121</v>
      </c>
      <c r="G59" s="206">
        <v>211</v>
      </c>
      <c r="H59" s="212">
        <v>942.5</v>
      </c>
      <c r="I59" s="209"/>
      <c r="J59" s="209"/>
      <c r="K59" s="209"/>
    </row>
    <row r="60" spans="1:11" ht="56.25" hidden="1">
      <c r="A60" s="106"/>
      <c r="B60" s="211" t="s">
        <v>209</v>
      </c>
      <c r="C60" s="206">
        <v>966</v>
      </c>
      <c r="D60" s="211" t="s">
        <v>84</v>
      </c>
      <c r="E60" s="211" t="s">
        <v>171</v>
      </c>
      <c r="F60" s="206">
        <v>129</v>
      </c>
      <c r="G60" s="206"/>
      <c r="H60" s="212">
        <f>H61</f>
        <v>260.6</v>
      </c>
      <c r="I60" s="209"/>
      <c r="J60" s="209"/>
      <c r="K60" s="209"/>
    </row>
    <row r="61" spans="1:11" ht="12.75" hidden="1">
      <c r="A61" s="106"/>
      <c r="B61" s="211" t="s">
        <v>207</v>
      </c>
      <c r="C61" s="206">
        <v>966</v>
      </c>
      <c r="D61" s="211" t="s">
        <v>84</v>
      </c>
      <c r="E61" s="211" t="s">
        <v>171</v>
      </c>
      <c r="F61" s="206">
        <v>129</v>
      </c>
      <c r="G61" s="206">
        <v>213</v>
      </c>
      <c r="H61" s="212">
        <v>260.6</v>
      </c>
      <c r="I61" s="209"/>
      <c r="J61" s="209"/>
      <c r="K61" s="209"/>
    </row>
    <row r="62" spans="1:11" ht="42.75" customHeight="1">
      <c r="A62" s="106" t="s">
        <v>20</v>
      </c>
      <c r="B62" s="206" t="s">
        <v>21</v>
      </c>
      <c r="C62" s="206">
        <v>966</v>
      </c>
      <c r="D62" s="211" t="s">
        <v>84</v>
      </c>
      <c r="E62" s="211" t="s">
        <v>172</v>
      </c>
      <c r="F62" s="206"/>
      <c r="G62" s="206"/>
      <c r="H62" s="212">
        <f>'НЕ УДАЛЯТЬ'!H61</f>
        <v>23226.3</v>
      </c>
      <c r="I62" s="209"/>
      <c r="J62" s="209">
        <f>J63+J72+J87</f>
        <v>23225.6</v>
      </c>
      <c r="K62" s="210">
        <f>J62/H62*100</f>
        <v>99.99698617515489</v>
      </c>
    </row>
    <row r="63" spans="1:11" ht="69.75" customHeight="1">
      <c r="A63" s="106" t="s">
        <v>22</v>
      </c>
      <c r="B63" s="206" t="s">
        <v>105</v>
      </c>
      <c r="C63" s="206">
        <v>966</v>
      </c>
      <c r="D63" s="211" t="s">
        <v>84</v>
      </c>
      <c r="E63" s="211" t="s">
        <v>172</v>
      </c>
      <c r="F63" s="206">
        <v>100</v>
      </c>
      <c r="G63" s="206"/>
      <c r="H63" s="212">
        <f>'НЕ УДАЛЯТЬ'!H62</f>
        <v>19537.2</v>
      </c>
      <c r="I63" s="209"/>
      <c r="J63" s="209">
        <v>19537</v>
      </c>
      <c r="K63" s="210">
        <f>J63/H63*100</f>
        <v>99.99897631185635</v>
      </c>
    </row>
    <row r="64" spans="1:11" ht="22.5" hidden="1">
      <c r="A64" s="106"/>
      <c r="B64" s="211" t="s">
        <v>6</v>
      </c>
      <c r="C64" s="206">
        <v>966</v>
      </c>
      <c r="D64" s="211" t="s">
        <v>84</v>
      </c>
      <c r="E64" s="211" t="s">
        <v>172</v>
      </c>
      <c r="F64" s="206">
        <v>120</v>
      </c>
      <c r="G64" s="206"/>
      <c r="H64" s="212">
        <f>H65+H67+H70</f>
        <v>19987.300000000003</v>
      </c>
      <c r="I64" s="209"/>
      <c r="J64" s="209"/>
      <c r="K64" s="209"/>
    </row>
    <row r="65" spans="1:11" ht="22.5" hidden="1">
      <c r="A65" s="106"/>
      <c r="B65" s="211" t="s">
        <v>210</v>
      </c>
      <c r="C65" s="206">
        <v>966</v>
      </c>
      <c r="D65" s="211" t="s">
        <v>84</v>
      </c>
      <c r="E65" s="211" t="s">
        <v>172</v>
      </c>
      <c r="F65" s="206">
        <v>121</v>
      </c>
      <c r="G65" s="206"/>
      <c r="H65" s="212">
        <f>H66</f>
        <v>15247.4</v>
      </c>
      <c r="I65" s="209"/>
      <c r="J65" s="209"/>
      <c r="K65" s="209"/>
    </row>
    <row r="66" spans="1:12" ht="12.75" hidden="1">
      <c r="A66" s="106"/>
      <c r="B66" s="211" t="s">
        <v>206</v>
      </c>
      <c r="C66" s="206">
        <v>966</v>
      </c>
      <c r="D66" s="211" t="s">
        <v>84</v>
      </c>
      <c r="E66" s="211" t="s">
        <v>172</v>
      </c>
      <c r="F66" s="206">
        <v>121</v>
      </c>
      <c r="G66" s="206">
        <v>211</v>
      </c>
      <c r="H66" s="212">
        <f>16221.4-58.8-915.2</f>
        <v>15247.4</v>
      </c>
      <c r="I66" s="209"/>
      <c r="J66" s="209"/>
      <c r="K66" s="209"/>
      <c r="L66">
        <v>-915.2</v>
      </c>
    </row>
    <row r="67" spans="1:11" ht="45" hidden="1">
      <c r="A67" s="106"/>
      <c r="B67" s="211" t="s">
        <v>250</v>
      </c>
      <c r="C67" s="206">
        <v>966</v>
      </c>
      <c r="D67" s="211" t="s">
        <v>84</v>
      </c>
      <c r="E67" s="211" t="s">
        <v>172</v>
      </c>
      <c r="F67" s="206">
        <v>122</v>
      </c>
      <c r="G67" s="206"/>
      <c r="H67" s="212">
        <f>H68+H69</f>
        <v>135.2</v>
      </c>
      <c r="I67" s="209"/>
      <c r="J67" s="209"/>
      <c r="K67" s="209"/>
    </row>
    <row r="68" spans="1:11" ht="12.75" hidden="1">
      <c r="A68" s="106"/>
      <c r="B68" s="211" t="s">
        <v>249</v>
      </c>
      <c r="C68" s="206">
        <v>966</v>
      </c>
      <c r="D68" s="211" t="s">
        <v>84</v>
      </c>
      <c r="E68" s="211" t="s">
        <v>172</v>
      </c>
      <c r="F68" s="206">
        <v>122</v>
      </c>
      <c r="G68" s="206">
        <v>212</v>
      </c>
      <c r="H68" s="212">
        <v>0.1</v>
      </c>
      <c r="I68" s="209"/>
      <c r="J68" s="209"/>
      <c r="K68" s="209"/>
    </row>
    <row r="69" spans="1:12" ht="12.75" hidden="1">
      <c r="A69" s="106"/>
      <c r="B69" s="211" t="s">
        <v>216</v>
      </c>
      <c r="C69" s="206">
        <v>966</v>
      </c>
      <c r="D69" s="211" t="s">
        <v>84</v>
      </c>
      <c r="E69" s="211" t="s">
        <v>172</v>
      </c>
      <c r="F69" s="206">
        <v>122</v>
      </c>
      <c r="G69" s="206">
        <v>222</v>
      </c>
      <c r="H69" s="212">
        <f>220-84.9</f>
        <v>135.1</v>
      </c>
      <c r="I69" s="209" t="s">
        <v>251</v>
      </c>
      <c r="J69" s="209"/>
      <c r="K69" s="209"/>
      <c r="L69">
        <v>-84.9</v>
      </c>
    </row>
    <row r="70" spans="1:11" ht="56.25" hidden="1">
      <c r="A70" s="106"/>
      <c r="B70" s="211" t="s">
        <v>209</v>
      </c>
      <c r="C70" s="206">
        <v>966</v>
      </c>
      <c r="D70" s="211" t="s">
        <v>84</v>
      </c>
      <c r="E70" s="211" t="s">
        <v>172</v>
      </c>
      <c r="F70" s="206">
        <v>129</v>
      </c>
      <c r="G70" s="206"/>
      <c r="H70" s="212">
        <f>H71</f>
        <v>4604.700000000001</v>
      </c>
      <c r="I70" s="209"/>
      <c r="J70" s="209"/>
      <c r="K70" s="209"/>
    </row>
    <row r="71" spans="1:12" ht="6.75" customHeight="1" hidden="1">
      <c r="A71" s="106"/>
      <c r="B71" s="211" t="s">
        <v>207</v>
      </c>
      <c r="C71" s="206">
        <v>966</v>
      </c>
      <c r="D71" s="211" t="s">
        <v>84</v>
      </c>
      <c r="E71" s="211" t="s">
        <v>172</v>
      </c>
      <c r="F71" s="206">
        <v>129</v>
      </c>
      <c r="G71" s="206">
        <v>213</v>
      </c>
      <c r="H71" s="212">
        <f>4892.5-11.4-5.2-271.2</f>
        <v>4604.700000000001</v>
      </c>
      <c r="I71" s="209"/>
      <c r="J71" s="209"/>
      <c r="K71" s="209"/>
      <c r="L71">
        <v>-271.2</v>
      </c>
    </row>
    <row r="72" spans="1:11" ht="22.5">
      <c r="A72" s="106" t="s">
        <v>23</v>
      </c>
      <c r="B72" s="206" t="s">
        <v>24</v>
      </c>
      <c r="C72" s="206">
        <v>966</v>
      </c>
      <c r="D72" s="211" t="s">
        <v>84</v>
      </c>
      <c r="E72" s="211" t="s">
        <v>172</v>
      </c>
      <c r="F72" s="206">
        <v>200</v>
      </c>
      <c r="G72" s="206"/>
      <c r="H72" s="212">
        <f>'НЕ УДАЛЯТЬ'!H71</f>
        <v>3639.3</v>
      </c>
      <c r="I72" s="209"/>
      <c r="J72" s="209">
        <v>3639</v>
      </c>
      <c r="K72" s="210">
        <f>J72/H72*100</f>
        <v>99.99175665649987</v>
      </c>
    </row>
    <row r="73" spans="1:11" ht="33.75" hidden="1">
      <c r="A73" s="106"/>
      <c r="B73" s="206" t="s">
        <v>108</v>
      </c>
      <c r="C73" s="206">
        <v>966</v>
      </c>
      <c r="D73" s="211" t="s">
        <v>84</v>
      </c>
      <c r="E73" s="211" t="s">
        <v>172</v>
      </c>
      <c r="F73" s="206">
        <v>240</v>
      </c>
      <c r="G73" s="206"/>
      <c r="H73" s="212">
        <f>H74+H79</f>
        <v>4048.1000000000004</v>
      </c>
      <c r="I73" s="209"/>
      <c r="J73" s="209"/>
      <c r="K73" s="210"/>
    </row>
    <row r="74" spans="1:11" ht="33.75" hidden="1">
      <c r="A74" s="106"/>
      <c r="B74" s="206" t="s">
        <v>202</v>
      </c>
      <c r="C74" s="206">
        <v>966</v>
      </c>
      <c r="D74" s="211" t="s">
        <v>84</v>
      </c>
      <c r="E74" s="211" t="s">
        <v>172</v>
      </c>
      <c r="F74" s="206">
        <v>242</v>
      </c>
      <c r="G74" s="206"/>
      <c r="H74" s="212">
        <f>H75+H76+H77+H78</f>
        <v>806.9999999999999</v>
      </c>
      <c r="I74" s="209"/>
      <c r="J74" s="209"/>
      <c r="K74" s="210"/>
    </row>
    <row r="75" spans="1:12" ht="12.75" hidden="1">
      <c r="A75" s="106"/>
      <c r="B75" s="206" t="s">
        <v>211</v>
      </c>
      <c r="C75" s="206">
        <v>966</v>
      </c>
      <c r="D75" s="211" t="s">
        <v>84</v>
      </c>
      <c r="E75" s="211" t="s">
        <v>172</v>
      </c>
      <c r="F75" s="206">
        <v>242</v>
      </c>
      <c r="G75" s="206">
        <v>221</v>
      </c>
      <c r="H75" s="212">
        <f>188.5+174.9-37</f>
        <v>326.4</v>
      </c>
      <c r="I75" s="209"/>
      <c r="J75" s="209"/>
      <c r="K75" s="210"/>
      <c r="L75">
        <v>-37</v>
      </c>
    </row>
    <row r="76" spans="1:12" ht="12.75" hidden="1">
      <c r="A76" s="106"/>
      <c r="B76" s="206" t="s">
        <v>208</v>
      </c>
      <c r="C76" s="206">
        <v>966</v>
      </c>
      <c r="D76" s="211" t="s">
        <v>84</v>
      </c>
      <c r="E76" s="211" t="s">
        <v>172</v>
      </c>
      <c r="F76" s="206">
        <v>242</v>
      </c>
      <c r="G76" s="206">
        <v>226</v>
      </c>
      <c r="H76" s="212">
        <f>500+22-47.3</f>
        <v>474.7</v>
      </c>
      <c r="I76" s="209"/>
      <c r="J76" s="209"/>
      <c r="K76" s="210"/>
      <c r="L76">
        <v>-47.3</v>
      </c>
    </row>
    <row r="77" spans="1:12" ht="12.75" hidden="1">
      <c r="A77" s="106"/>
      <c r="B77" s="206" t="s">
        <v>218</v>
      </c>
      <c r="C77" s="206">
        <v>966</v>
      </c>
      <c r="D77" s="211" t="s">
        <v>84</v>
      </c>
      <c r="E77" s="211" t="s">
        <v>172</v>
      </c>
      <c r="F77" s="206">
        <v>242</v>
      </c>
      <c r="G77" s="206">
        <v>310</v>
      </c>
      <c r="H77" s="212">
        <f>50-46.2</f>
        <v>3.799999999999997</v>
      </c>
      <c r="I77" s="209"/>
      <c r="J77" s="209"/>
      <c r="K77" s="210"/>
      <c r="L77">
        <v>-46.2</v>
      </c>
    </row>
    <row r="78" spans="1:12" ht="22.5" hidden="1">
      <c r="A78" s="106"/>
      <c r="B78" s="206" t="s">
        <v>217</v>
      </c>
      <c r="C78" s="206">
        <v>966</v>
      </c>
      <c r="D78" s="211" t="s">
        <v>84</v>
      </c>
      <c r="E78" s="211" t="s">
        <v>172</v>
      </c>
      <c r="F78" s="206">
        <v>242</v>
      </c>
      <c r="G78" s="206">
        <v>340</v>
      </c>
      <c r="H78" s="212">
        <f>100-97.9</f>
        <v>2.0999999999999943</v>
      </c>
      <c r="I78" s="209"/>
      <c r="J78" s="209"/>
      <c r="K78" s="210"/>
      <c r="L78">
        <v>-97.9</v>
      </c>
    </row>
    <row r="79" spans="1:11" ht="33.75" hidden="1">
      <c r="A79" s="106"/>
      <c r="B79" s="206" t="s">
        <v>199</v>
      </c>
      <c r="C79" s="206">
        <v>966</v>
      </c>
      <c r="D79" s="211" t="s">
        <v>84</v>
      </c>
      <c r="E79" s="211" t="s">
        <v>172</v>
      </c>
      <c r="F79" s="206">
        <v>244</v>
      </c>
      <c r="G79" s="206"/>
      <c r="H79" s="212">
        <f>SUM(H80:H86)</f>
        <v>3241.1000000000004</v>
      </c>
      <c r="I79" s="209"/>
      <c r="J79" s="209"/>
      <c r="K79" s="210"/>
    </row>
    <row r="80" spans="1:12" ht="12.75" hidden="1">
      <c r="A80" s="106"/>
      <c r="B80" s="206" t="s">
        <v>211</v>
      </c>
      <c r="C80" s="206">
        <v>966</v>
      </c>
      <c r="D80" s="211" t="s">
        <v>84</v>
      </c>
      <c r="E80" s="211" t="s">
        <v>172</v>
      </c>
      <c r="F80" s="206">
        <v>244</v>
      </c>
      <c r="G80" s="206">
        <v>221</v>
      </c>
      <c r="H80" s="212">
        <f>161+439-100-136.5</f>
        <v>363.5</v>
      </c>
      <c r="I80" s="209"/>
      <c r="J80" s="209"/>
      <c r="K80" s="210"/>
      <c r="L80">
        <v>-136.5</v>
      </c>
    </row>
    <row r="81" spans="1:12" ht="12.75" hidden="1">
      <c r="A81" s="106"/>
      <c r="B81" s="206" t="s">
        <v>216</v>
      </c>
      <c r="C81" s="206">
        <v>966</v>
      </c>
      <c r="D81" s="211" t="s">
        <v>84</v>
      </c>
      <c r="E81" s="211" t="s">
        <v>172</v>
      </c>
      <c r="F81" s="206">
        <v>244</v>
      </c>
      <c r="G81" s="206">
        <v>222</v>
      </c>
      <c r="H81" s="212">
        <f>290.6+29.4-220-88</f>
        <v>12</v>
      </c>
      <c r="I81" s="209" t="s">
        <v>251</v>
      </c>
      <c r="J81" s="209"/>
      <c r="K81" s="210"/>
      <c r="L81">
        <v>-88</v>
      </c>
    </row>
    <row r="82" spans="1:11" ht="12.75" hidden="1">
      <c r="A82" s="106"/>
      <c r="B82" s="206" t="s">
        <v>212</v>
      </c>
      <c r="C82" s="206">
        <v>966</v>
      </c>
      <c r="D82" s="211" t="s">
        <v>84</v>
      </c>
      <c r="E82" s="211" t="s">
        <v>172</v>
      </c>
      <c r="F82" s="206">
        <v>244</v>
      </c>
      <c r="G82" s="206">
        <v>223</v>
      </c>
      <c r="H82" s="212">
        <f>100-50</f>
        <v>50</v>
      </c>
      <c r="I82" s="209"/>
      <c r="J82" s="209"/>
      <c r="K82" s="210"/>
    </row>
    <row r="83" spans="1:11" ht="12.75" hidden="1">
      <c r="A83" s="106"/>
      <c r="B83" s="206" t="s">
        <v>213</v>
      </c>
      <c r="C83" s="206">
        <v>966</v>
      </c>
      <c r="D83" s="211" t="s">
        <v>84</v>
      </c>
      <c r="E83" s="211" t="s">
        <v>172</v>
      </c>
      <c r="F83" s="206">
        <v>244</v>
      </c>
      <c r="G83" s="206">
        <v>225</v>
      </c>
      <c r="H83" s="212">
        <f>98.4+100.1+1000+68.4+100</f>
        <v>1366.9</v>
      </c>
      <c r="I83" s="209"/>
      <c r="J83" s="209"/>
      <c r="K83" s="210">
        <v>2</v>
      </c>
    </row>
    <row r="84" spans="1:12" ht="12.75" hidden="1">
      <c r="A84" s="106"/>
      <c r="B84" s="206" t="s">
        <v>208</v>
      </c>
      <c r="C84" s="206">
        <v>966</v>
      </c>
      <c r="D84" s="211" t="s">
        <v>84</v>
      </c>
      <c r="E84" s="211" t="s">
        <v>172</v>
      </c>
      <c r="F84" s="206">
        <v>244</v>
      </c>
      <c r="G84" s="206">
        <v>226</v>
      </c>
      <c r="H84" s="212">
        <f>922.4-492.9-39.7</f>
        <v>389.8</v>
      </c>
      <c r="I84" s="209"/>
      <c r="J84" s="209"/>
      <c r="K84" s="210"/>
      <c r="L84">
        <v>-39.7</v>
      </c>
    </row>
    <row r="85" spans="1:11" ht="12.75" hidden="1">
      <c r="A85" s="106"/>
      <c r="B85" s="206" t="s">
        <v>218</v>
      </c>
      <c r="C85" s="206">
        <v>966</v>
      </c>
      <c r="D85" s="211" t="s">
        <v>84</v>
      </c>
      <c r="E85" s="211" t="s">
        <v>172</v>
      </c>
      <c r="F85" s="206">
        <v>244</v>
      </c>
      <c r="G85" s="206">
        <v>310</v>
      </c>
      <c r="H85" s="212">
        <f>202.4-172.4+3430.1-25.6-300-190-200-2000-68.4-515</f>
        <v>161.10000000000002</v>
      </c>
      <c r="I85" s="209"/>
      <c r="J85" s="209"/>
      <c r="K85" s="210">
        <v>2</v>
      </c>
    </row>
    <row r="86" spans="1:12" ht="22.5" hidden="1">
      <c r="A86" s="106"/>
      <c r="B86" s="206" t="s">
        <v>217</v>
      </c>
      <c r="C86" s="206">
        <v>966</v>
      </c>
      <c r="D86" s="211" t="s">
        <v>84</v>
      </c>
      <c r="E86" s="211" t="s">
        <v>172</v>
      </c>
      <c r="F86" s="206">
        <v>244</v>
      </c>
      <c r="G86" s="206">
        <v>340</v>
      </c>
      <c r="H86" s="212">
        <f>224.2+165.8+200+237.8+70</f>
        <v>897.8</v>
      </c>
      <c r="I86" s="209"/>
      <c r="J86" s="209"/>
      <c r="K86" s="210"/>
      <c r="L86">
        <v>70</v>
      </c>
    </row>
    <row r="87" spans="1:11" ht="12.75">
      <c r="A87" s="106" t="s">
        <v>223</v>
      </c>
      <c r="B87" s="206" t="s">
        <v>109</v>
      </c>
      <c r="C87" s="206">
        <v>966</v>
      </c>
      <c r="D87" s="211" t="s">
        <v>84</v>
      </c>
      <c r="E87" s="211" t="s">
        <v>172</v>
      </c>
      <c r="F87" s="206">
        <v>800</v>
      </c>
      <c r="G87" s="206"/>
      <c r="H87" s="212">
        <f>'НЕ УДАЛЯТЬ'!H86</f>
        <v>49.800000000000004</v>
      </c>
      <c r="I87" s="209"/>
      <c r="J87" s="209">
        <v>49.6</v>
      </c>
      <c r="K87" s="210">
        <f>J87/H87*100</f>
        <v>99.59839357429718</v>
      </c>
    </row>
    <row r="88" spans="1:11" ht="12.75" hidden="1">
      <c r="A88" s="106"/>
      <c r="B88" s="209" t="s">
        <v>97</v>
      </c>
      <c r="C88" s="206">
        <v>966</v>
      </c>
      <c r="D88" s="211" t="s">
        <v>84</v>
      </c>
      <c r="E88" s="211" t="s">
        <v>172</v>
      </c>
      <c r="F88" s="206">
        <v>830</v>
      </c>
      <c r="G88" s="206"/>
      <c r="H88" s="212">
        <f>H89</f>
        <v>100</v>
      </c>
      <c r="I88" s="209"/>
      <c r="J88" s="209"/>
      <c r="K88" s="209"/>
    </row>
    <row r="89" spans="1:11" ht="112.5" hidden="1">
      <c r="A89" s="106"/>
      <c r="B89" s="215" t="s">
        <v>205</v>
      </c>
      <c r="C89" s="206">
        <v>966</v>
      </c>
      <c r="D89" s="211" t="s">
        <v>84</v>
      </c>
      <c r="E89" s="211" t="s">
        <v>172</v>
      </c>
      <c r="F89" s="206">
        <v>831</v>
      </c>
      <c r="G89" s="206"/>
      <c r="H89" s="212">
        <f>H90</f>
        <v>100</v>
      </c>
      <c r="I89" s="209"/>
      <c r="J89" s="209"/>
      <c r="K89" s="209"/>
    </row>
    <row r="90" spans="1:11" ht="12.75" hidden="1">
      <c r="A90" s="106"/>
      <c r="B90" s="206" t="s">
        <v>203</v>
      </c>
      <c r="C90" s="206">
        <v>966</v>
      </c>
      <c r="D90" s="211" t="s">
        <v>84</v>
      </c>
      <c r="E90" s="211" t="s">
        <v>172</v>
      </c>
      <c r="F90" s="206">
        <v>831</v>
      </c>
      <c r="G90" s="206">
        <v>290</v>
      </c>
      <c r="H90" s="212">
        <v>100</v>
      </c>
      <c r="I90" s="209"/>
      <c r="J90" s="209"/>
      <c r="K90" s="209"/>
    </row>
    <row r="91" spans="1:11" ht="12.75" hidden="1">
      <c r="A91" s="106" t="s">
        <v>231</v>
      </c>
      <c r="B91" s="206" t="s">
        <v>14</v>
      </c>
      <c r="C91" s="206">
        <v>966</v>
      </c>
      <c r="D91" s="211" t="s">
        <v>84</v>
      </c>
      <c r="E91" s="211" t="s">
        <v>172</v>
      </c>
      <c r="F91" s="206">
        <v>850</v>
      </c>
      <c r="G91" s="206"/>
      <c r="H91" s="212">
        <f>H94+H92</f>
        <v>2.3</v>
      </c>
      <c r="I91" s="209"/>
      <c r="J91" s="209"/>
      <c r="K91" s="209"/>
    </row>
    <row r="92" spans="1:11" ht="22.5" hidden="1">
      <c r="A92" s="106"/>
      <c r="B92" s="206" t="s">
        <v>252</v>
      </c>
      <c r="C92" s="206">
        <v>966</v>
      </c>
      <c r="D92" s="211" t="s">
        <v>84</v>
      </c>
      <c r="E92" s="211" t="s">
        <v>172</v>
      </c>
      <c r="F92" s="206">
        <v>851</v>
      </c>
      <c r="G92" s="206"/>
      <c r="H92" s="212">
        <f>H93</f>
        <v>0.3</v>
      </c>
      <c r="I92" s="209"/>
      <c r="J92" s="209"/>
      <c r="K92" s="209"/>
    </row>
    <row r="93" spans="1:11" ht="12.75" hidden="1">
      <c r="A93" s="106"/>
      <c r="B93" s="206" t="s">
        <v>203</v>
      </c>
      <c r="C93" s="206">
        <v>966</v>
      </c>
      <c r="D93" s="211" t="s">
        <v>84</v>
      </c>
      <c r="E93" s="211" t="s">
        <v>172</v>
      </c>
      <c r="F93" s="206">
        <v>851</v>
      </c>
      <c r="G93" s="206">
        <v>290</v>
      </c>
      <c r="H93" s="212">
        <v>0.3</v>
      </c>
      <c r="I93" s="209"/>
      <c r="J93" s="209"/>
      <c r="K93" s="209">
        <v>2</v>
      </c>
    </row>
    <row r="94" spans="1:11" ht="12.75" hidden="1">
      <c r="A94" s="106"/>
      <c r="B94" s="215" t="s">
        <v>215</v>
      </c>
      <c r="C94" s="206">
        <v>966</v>
      </c>
      <c r="D94" s="211" t="s">
        <v>84</v>
      </c>
      <c r="E94" s="211" t="s">
        <v>172</v>
      </c>
      <c r="F94" s="206">
        <v>853</v>
      </c>
      <c r="G94" s="206"/>
      <c r="H94" s="212">
        <f>H95</f>
        <v>2</v>
      </c>
      <c r="I94" s="209"/>
      <c r="J94" s="209"/>
      <c r="K94" s="209"/>
    </row>
    <row r="95" spans="1:11" ht="12.75" hidden="1">
      <c r="A95" s="106"/>
      <c r="B95" s="206" t="s">
        <v>203</v>
      </c>
      <c r="C95" s="206">
        <v>966</v>
      </c>
      <c r="D95" s="211" t="s">
        <v>84</v>
      </c>
      <c r="E95" s="211" t="s">
        <v>172</v>
      </c>
      <c r="F95" s="206">
        <v>853</v>
      </c>
      <c r="G95" s="206">
        <v>290</v>
      </c>
      <c r="H95" s="213">
        <f>1+1</f>
        <v>2</v>
      </c>
      <c r="I95" s="209"/>
      <c r="J95" s="209"/>
      <c r="K95" s="209"/>
    </row>
    <row r="96" spans="1:11" ht="69" customHeight="1">
      <c r="A96" s="106" t="s">
        <v>225</v>
      </c>
      <c r="B96" s="216" t="s">
        <v>131</v>
      </c>
      <c r="C96" s="206">
        <v>966</v>
      </c>
      <c r="D96" s="211" t="s">
        <v>84</v>
      </c>
      <c r="E96" s="211" t="s">
        <v>228</v>
      </c>
      <c r="F96" s="206"/>
      <c r="G96" s="206"/>
      <c r="H96" s="212">
        <f>'НЕ УДАЛЯТЬ'!H95</f>
        <v>6</v>
      </c>
      <c r="I96" s="209"/>
      <c r="J96" s="209">
        <f>J97</f>
        <v>6</v>
      </c>
      <c r="K96" s="210">
        <f>K97</f>
        <v>100</v>
      </c>
    </row>
    <row r="97" spans="1:11" ht="36.75" customHeight="1">
      <c r="A97" s="106" t="s">
        <v>226</v>
      </c>
      <c r="B97" s="206" t="s">
        <v>24</v>
      </c>
      <c r="C97" s="206">
        <v>966</v>
      </c>
      <c r="D97" s="211" t="s">
        <v>84</v>
      </c>
      <c r="E97" s="211" t="s">
        <v>228</v>
      </c>
      <c r="F97" s="206">
        <v>200</v>
      </c>
      <c r="G97" s="206"/>
      <c r="H97" s="212">
        <f>H98</f>
        <v>6</v>
      </c>
      <c r="I97" s="209"/>
      <c r="J97" s="209">
        <v>6</v>
      </c>
      <c r="K97" s="210">
        <v>100</v>
      </c>
    </row>
    <row r="98" spans="1:11" ht="33.75" hidden="1">
      <c r="A98" s="106"/>
      <c r="B98" s="206" t="s">
        <v>108</v>
      </c>
      <c r="C98" s="206">
        <v>966</v>
      </c>
      <c r="D98" s="211" t="s">
        <v>84</v>
      </c>
      <c r="E98" s="211" t="s">
        <v>228</v>
      </c>
      <c r="F98" s="206">
        <v>240</v>
      </c>
      <c r="G98" s="206"/>
      <c r="H98" s="212">
        <f>H99</f>
        <v>6</v>
      </c>
      <c r="I98" s="209"/>
      <c r="J98" s="209"/>
      <c r="K98" s="209"/>
    </row>
    <row r="99" spans="1:11" ht="33.75" hidden="1">
      <c r="A99" s="106"/>
      <c r="B99" s="206" t="s">
        <v>199</v>
      </c>
      <c r="C99" s="206">
        <v>966</v>
      </c>
      <c r="D99" s="211" t="s">
        <v>84</v>
      </c>
      <c r="E99" s="211" t="s">
        <v>228</v>
      </c>
      <c r="F99" s="206">
        <v>244</v>
      </c>
      <c r="G99" s="206"/>
      <c r="H99" s="212">
        <f>H100</f>
        <v>6</v>
      </c>
      <c r="I99" s="209"/>
      <c r="J99" s="209"/>
      <c r="K99" s="209"/>
    </row>
    <row r="100" spans="1:11" ht="22.5" hidden="1">
      <c r="A100" s="106"/>
      <c r="B100" s="206" t="s">
        <v>217</v>
      </c>
      <c r="C100" s="206">
        <v>966</v>
      </c>
      <c r="D100" s="211" t="s">
        <v>84</v>
      </c>
      <c r="E100" s="211" t="s">
        <v>228</v>
      </c>
      <c r="F100" s="206">
        <v>244</v>
      </c>
      <c r="G100" s="206">
        <v>340</v>
      </c>
      <c r="H100" s="212">
        <v>6</v>
      </c>
      <c r="I100" s="209"/>
      <c r="J100" s="209"/>
      <c r="K100" s="209"/>
    </row>
    <row r="101" spans="1:11" ht="70.5" customHeight="1">
      <c r="A101" s="106" t="s">
        <v>95</v>
      </c>
      <c r="B101" s="206" t="s">
        <v>124</v>
      </c>
      <c r="C101" s="206"/>
      <c r="D101" s="211" t="s">
        <v>84</v>
      </c>
      <c r="E101" s="211" t="s">
        <v>229</v>
      </c>
      <c r="F101" s="206"/>
      <c r="G101" s="206"/>
      <c r="H101" s="212">
        <f>'НЕ УДАЛЯТЬ'!H100</f>
        <v>4106.2</v>
      </c>
      <c r="I101" s="209"/>
      <c r="J101" s="210">
        <f>J102+J111</f>
        <v>4106.2</v>
      </c>
      <c r="K101" s="210">
        <v>100</v>
      </c>
    </row>
    <row r="102" spans="1:11" ht="69" customHeight="1">
      <c r="A102" s="106" t="s">
        <v>96</v>
      </c>
      <c r="B102" s="206" t="s">
        <v>105</v>
      </c>
      <c r="C102" s="206">
        <v>966</v>
      </c>
      <c r="D102" s="211" t="s">
        <v>84</v>
      </c>
      <c r="E102" s="211" t="s">
        <v>229</v>
      </c>
      <c r="F102" s="206">
        <v>100</v>
      </c>
      <c r="G102" s="206"/>
      <c r="H102" s="212">
        <f>'НЕ УДАЛЯТЬ'!H101</f>
        <v>3875</v>
      </c>
      <c r="I102" s="209"/>
      <c r="J102" s="210">
        <f>H102</f>
        <v>3875</v>
      </c>
      <c r="K102" s="210">
        <v>100</v>
      </c>
    </row>
    <row r="103" spans="1:11" ht="22.5" hidden="1">
      <c r="A103" s="106"/>
      <c r="B103" s="211" t="s">
        <v>6</v>
      </c>
      <c r="C103" s="206">
        <v>966</v>
      </c>
      <c r="D103" s="211" t="s">
        <v>84</v>
      </c>
      <c r="E103" s="211" t="s">
        <v>229</v>
      </c>
      <c r="F103" s="206">
        <v>120</v>
      </c>
      <c r="G103" s="206"/>
      <c r="H103" s="212">
        <f>H104+H106+H109</f>
        <v>3888.5</v>
      </c>
      <c r="I103" s="209"/>
      <c r="J103" s="209"/>
      <c r="K103" s="209"/>
    </row>
    <row r="104" spans="1:11" ht="22.5" hidden="1">
      <c r="A104" s="106"/>
      <c r="B104" s="211" t="s">
        <v>210</v>
      </c>
      <c r="C104" s="206">
        <v>966</v>
      </c>
      <c r="D104" s="211" t="s">
        <v>84</v>
      </c>
      <c r="E104" s="211" t="s">
        <v>229</v>
      </c>
      <c r="F104" s="206">
        <v>121</v>
      </c>
      <c r="G104" s="206"/>
      <c r="H104" s="212">
        <f>H105</f>
        <v>2940.6</v>
      </c>
      <c r="I104" s="209"/>
      <c r="J104" s="209"/>
      <c r="K104" s="209"/>
    </row>
    <row r="105" spans="1:11" ht="12.75" hidden="1">
      <c r="A105" s="106"/>
      <c r="B105" s="211" t="s">
        <v>206</v>
      </c>
      <c r="C105" s="206">
        <v>966</v>
      </c>
      <c r="D105" s="211" t="s">
        <v>84</v>
      </c>
      <c r="E105" s="211" t="s">
        <v>229</v>
      </c>
      <c r="F105" s="206">
        <v>121</v>
      </c>
      <c r="G105" s="206">
        <v>211</v>
      </c>
      <c r="H105" s="212">
        <v>2940.6</v>
      </c>
      <c r="I105" s="209"/>
      <c r="J105" s="209"/>
      <c r="K105" s="209"/>
    </row>
    <row r="106" spans="1:11" ht="45" hidden="1">
      <c r="A106" s="106"/>
      <c r="B106" s="211" t="s">
        <v>250</v>
      </c>
      <c r="C106" s="206">
        <v>966</v>
      </c>
      <c r="D106" s="211" t="s">
        <v>84</v>
      </c>
      <c r="E106" s="211" t="s">
        <v>229</v>
      </c>
      <c r="F106" s="206">
        <v>122</v>
      </c>
      <c r="G106" s="206"/>
      <c r="H106" s="212">
        <f>SUM(H107:H108)</f>
        <v>59.800000000000004</v>
      </c>
      <c r="I106" s="209" t="s">
        <v>251</v>
      </c>
      <c r="J106" s="209"/>
      <c r="K106" s="209"/>
    </row>
    <row r="107" spans="1:12" ht="12.75" hidden="1">
      <c r="A107" s="106"/>
      <c r="B107" s="211" t="s">
        <v>249</v>
      </c>
      <c r="C107" s="206">
        <v>966</v>
      </c>
      <c r="D107" s="211" t="s">
        <v>84</v>
      </c>
      <c r="E107" s="211" t="s">
        <v>229</v>
      </c>
      <c r="F107" s="206">
        <v>122</v>
      </c>
      <c r="G107" s="206">
        <v>212</v>
      </c>
      <c r="H107" s="212">
        <v>0.2</v>
      </c>
      <c r="I107" s="209" t="s">
        <v>251</v>
      </c>
      <c r="J107" s="209"/>
      <c r="K107" s="209"/>
      <c r="L107">
        <v>0.2</v>
      </c>
    </row>
    <row r="108" spans="1:12" ht="12.75" hidden="1">
      <c r="A108" s="106"/>
      <c r="B108" s="211" t="s">
        <v>216</v>
      </c>
      <c r="C108" s="206">
        <v>966</v>
      </c>
      <c r="D108" s="211" t="s">
        <v>84</v>
      </c>
      <c r="E108" s="211" t="s">
        <v>229</v>
      </c>
      <c r="F108" s="206">
        <v>122</v>
      </c>
      <c r="G108" s="206">
        <v>222</v>
      </c>
      <c r="H108" s="212">
        <f>80-20.4</f>
        <v>59.6</v>
      </c>
      <c r="I108" s="209" t="s">
        <v>251</v>
      </c>
      <c r="J108" s="209"/>
      <c r="K108" s="209"/>
      <c r="L108">
        <v>-20.4</v>
      </c>
    </row>
    <row r="109" spans="1:11" ht="56.25" hidden="1">
      <c r="A109" s="106"/>
      <c r="B109" s="211" t="s">
        <v>209</v>
      </c>
      <c r="C109" s="206">
        <v>966</v>
      </c>
      <c r="D109" s="211" t="s">
        <v>84</v>
      </c>
      <c r="E109" s="211" t="s">
        <v>229</v>
      </c>
      <c r="F109" s="206">
        <v>129</v>
      </c>
      <c r="G109" s="206"/>
      <c r="H109" s="212">
        <f>H110</f>
        <v>888.1</v>
      </c>
      <c r="I109" s="209"/>
      <c r="J109" s="209"/>
      <c r="K109" s="209"/>
    </row>
    <row r="110" spans="1:11" ht="10.5" customHeight="1" hidden="1">
      <c r="A110" s="106"/>
      <c r="B110" s="211" t="s">
        <v>207</v>
      </c>
      <c r="C110" s="206">
        <v>966</v>
      </c>
      <c r="D110" s="211" t="s">
        <v>84</v>
      </c>
      <c r="E110" s="211" t="s">
        <v>229</v>
      </c>
      <c r="F110" s="206">
        <v>129</v>
      </c>
      <c r="G110" s="206">
        <v>213</v>
      </c>
      <c r="H110" s="212">
        <v>888.1</v>
      </c>
      <c r="I110" s="209"/>
      <c r="J110" s="209"/>
      <c r="K110" s="209"/>
    </row>
    <row r="111" spans="1:11" ht="34.5" customHeight="1">
      <c r="A111" s="106" t="s">
        <v>227</v>
      </c>
      <c r="B111" s="206" t="s">
        <v>24</v>
      </c>
      <c r="C111" s="206">
        <v>966</v>
      </c>
      <c r="D111" s="211" t="s">
        <v>84</v>
      </c>
      <c r="E111" s="211" t="s">
        <v>229</v>
      </c>
      <c r="F111" s="206">
        <v>200</v>
      </c>
      <c r="G111" s="206"/>
      <c r="H111" s="212">
        <f>'НЕ УДАЛЯТЬ'!H110</f>
        <v>231.2</v>
      </c>
      <c r="I111" s="209"/>
      <c r="J111" s="210">
        <f>H111</f>
        <v>231.2</v>
      </c>
      <c r="K111" s="210">
        <v>100</v>
      </c>
    </row>
    <row r="112" spans="1:11" ht="33.75" hidden="1">
      <c r="A112" s="106"/>
      <c r="B112" s="206" t="s">
        <v>108</v>
      </c>
      <c r="C112" s="206">
        <v>966</v>
      </c>
      <c r="D112" s="211" t="s">
        <v>84</v>
      </c>
      <c r="E112" s="211" t="s">
        <v>229</v>
      </c>
      <c r="F112" s="206">
        <v>240</v>
      </c>
      <c r="G112" s="206"/>
      <c r="H112" s="212">
        <f>H113+H115</f>
        <v>217.7</v>
      </c>
      <c r="I112" s="209"/>
      <c r="J112" s="209"/>
      <c r="K112" s="209"/>
    </row>
    <row r="113" spans="1:11" ht="33.75" hidden="1">
      <c r="A113" s="106"/>
      <c r="B113" s="206" t="s">
        <v>202</v>
      </c>
      <c r="C113" s="206">
        <v>966</v>
      </c>
      <c r="D113" s="211" t="s">
        <v>84</v>
      </c>
      <c r="E113" s="211" t="s">
        <v>229</v>
      </c>
      <c r="F113" s="206">
        <v>242</v>
      </c>
      <c r="G113" s="206"/>
      <c r="H113" s="213">
        <f>SUM(H114:H114)</f>
        <v>90</v>
      </c>
      <c r="I113" s="209"/>
      <c r="J113" s="209"/>
      <c r="K113" s="209"/>
    </row>
    <row r="114" spans="1:11" ht="12.75" hidden="1">
      <c r="A114" s="106"/>
      <c r="B114" s="206" t="s">
        <v>211</v>
      </c>
      <c r="C114" s="206">
        <v>966</v>
      </c>
      <c r="D114" s="211" t="s">
        <v>84</v>
      </c>
      <c r="E114" s="211" t="s">
        <v>229</v>
      </c>
      <c r="F114" s="206">
        <v>242</v>
      </c>
      <c r="G114" s="206">
        <v>221</v>
      </c>
      <c r="H114" s="213">
        <f>87+3</f>
        <v>90</v>
      </c>
      <c r="I114" s="209"/>
      <c r="J114" s="209"/>
      <c r="K114" s="209"/>
    </row>
    <row r="115" spans="1:11" ht="33.75" hidden="1">
      <c r="A115" s="106"/>
      <c r="B115" s="206" t="s">
        <v>199</v>
      </c>
      <c r="C115" s="206">
        <v>966</v>
      </c>
      <c r="D115" s="211" t="s">
        <v>84</v>
      </c>
      <c r="E115" s="211" t="s">
        <v>229</v>
      </c>
      <c r="F115" s="206">
        <v>244</v>
      </c>
      <c r="G115" s="206"/>
      <c r="H115" s="213">
        <f>SUM(H116:H119)</f>
        <v>127.7</v>
      </c>
      <c r="I115" s="209"/>
      <c r="J115" s="209"/>
      <c r="K115" s="209"/>
    </row>
    <row r="116" spans="1:12" ht="12" customHeight="1" hidden="1">
      <c r="A116" s="106"/>
      <c r="B116" s="206" t="s">
        <v>211</v>
      </c>
      <c r="C116" s="206">
        <v>966</v>
      </c>
      <c r="D116" s="211" t="s">
        <v>84</v>
      </c>
      <c r="E116" s="211" t="s">
        <v>229</v>
      </c>
      <c r="F116" s="206">
        <v>244</v>
      </c>
      <c r="G116" s="206">
        <v>221</v>
      </c>
      <c r="H116" s="213">
        <v>0</v>
      </c>
      <c r="I116" s="209"/>
      <c r="J116" s="209"/>
      <c r="K116" s="209"/>
      <c r="L116">
        <v>-96.9</v>
      </c>
    </row>
    <row r="117" spans="1:11" ht="10.5" customHeight="1" hidden="1">
      <c r="A117" s="106"/>
      <c r="B117" s="206" t="s">
        <v>216</v>
      </c>
      <c r="C117" s="206">
        <v>966</v>
      </c>
      <c r="D117" s="211" t="s">
        <v>84</v>
      </c>
      <c r="E117" s="211" t="s">
        <v>229</v>
      </c>
      <c r="F117" s="206">
        <v>244</v>
      </c>
      <c r="G117" s="206">
        <v>222</v>
      </c>
      <c r="H117" s="213">
        <f>80-80</f>
        <v>0</v>
      </c>
      <c r="I117" s="209" t="s">
        <v>251</v>
      </c>
      <c r="J117" s="209"/>
      <c r="K117" s="209"/>
    </row>
    <row r="118" spans="1:12" ht="12" customHeight="1" hidden="1">
      <c r="A118" s="106"/>
      <c r="B118" s="206" t="s">
        <v>208</v>
      </c>
      <c r="C118" s="206">
        <v>966</v>
      </c>
      <c r="D118" s="211" t="s">
        <v>84</v>
      </c>
      <c r="E118" s="211" t="s">
        <v>229</v>
      </c>
      <c r="F118" s="206">
        <v>244</v>
      </c>
      <c r="G118" s="206">
        <v>226</v>
      </c>
      <c r="H118" s="213">
        <v>0.7</v>
      </c>
      <c r="I118" s="209"/>
      <c r="J118" s="209"/>
      <c r="K118" s="209"/>
      <c r="L118">
        <v>0.7</v>
      </c>
    </row>
    <row r="119" spans="1:12" ht="13.5" customHeight="1" hidden="1" thickBot="1">
      <c r="A119" s="106"/>
      <c r="B119" s="206" t="s">
        <v>217</v>
      </c>
      <c r="C119" s="206">
        <v>966</v>
      </c>
      <c r="D119" s="211" t="s">
        <v>84</v>
      </c>
      <c r="E119" s="211" t="s">
        <v>229</v>
      </c>
      <c r="F119" s="206">
        <v>244</v>
      </c>
      <c r="G119" s="206">
        <v>340</v>
      </c>
      <c r="H119" s="213">
        <f>10.6+20.4+96.9-0.2-0.7</f>
        <v>127</v>
      </c>
      <c r="I119" s="209"/>
      <c r="J119" s="209"/>
      <c r="K119" s="209"/>
      <c r="L119">
        <f>20.4+96.9-0.2-0.7</f>
        <v>116.4</v>
      </c>
    </row>
    <row r="120" spans="1:11" ht="12.75" hidden="1">
      <c r="A120" s="106" t="s">
        <v>25</v>
      </c>
      <c r="B120" s="206" t="s">
        <v>26</v>
      </c>
      <c r="C120" s="206">
        <v>966</v>
      </c>
      <c r="D120" s="211" t="s">
        <v>85</v>
      </c>
      <c r="E120" s="211"/>
      <c r="F120" s="206"/>
      <c r="G120" s="206"/>
      <c r="H120" s="212">
        <f>H121</f>
        <v>2.3092638912203256E-14</v>
      </c>
      <c r="I120" s="209"/>
      <c r="J120" s="209"/>
      <c r="K120" s="209"/>
    </row>
    <row r="121" spans="1:11" ht="12.75" hidden="1">
      <c r="A121" s="106" t="s">
        <v>94</v>
      </c>
      <c r="B121" s="209" t="s">
        <v>27</v>
      </c>
      <c r="C121" s="206">
        <v>966</v>
      </c>
      <c r="D121" s="211" t="s">
        <v>85</v>
      </c>
      <c r="E121" s="211" t="s">
        <v>173</v>
      </c>
      <c r="F121" s="206"/>
      <c r="G121" s="206"/>
      <c r="H121" s="212">
        <f>H122</f>
        <v>2.3092638912203256E-14</v>
      </c>
      <c r="I121" s="209"/>
      <c r="J121" s="209"/>
      <c r="K121" s="209"/>
    </row>
    <row r="122" spans="1:11" ht="12.75" hidden="1">
      <c r="A122" s="106" t="s">
        <v>28</v>
      </c>
      <c r="B122" s="209" t="s">
        <v>109</v>
      </c>
      <c r="C122" s="206">
        <v>966</v>
      </c>
      <c r="D122" s="211" t="s">
        <v>85</v>
      </c>
      <c r="E122" s="211" t="s">
        <v>173</v>
      </c>
      <c r="F122" s="206">
        <v>800</v>
      </c>
      <c r="G122" s="206"/>
      <c r="H122" s="212">
        <f>'НЕ УДАЛЯТЬ'!H121</f>
        <v>2.3092638912203256E-14</v>
      </c>
      <c r="I122" s="209"/>
      <c r="J122" s="209"/>
      <c r="K122" s="209"/>
    </row>
    <row r="123" spans="1:11" ht="12.75" hidden="1">
      <c r="A123" s="106"/>
      <c r="B123" s="206" t="s">
        <v>29</v>
      </c>
      <c r="C123" s="206">
        <v>966</v>
      </c>
      <c r="D123" s="211" t="s">
        <v>85</v>
      </c>
      <c r="E123" s="211" t="s">
        <v>173</v>
      </c>
      <c r="F123" s="206">
        <v>870</v>
      </c>
      <c r="G123" s="206"/>
      <c r="H123" s="212">
        <f>H124</f>
        <v>12.600000000000023</v>
      </c>
      <c r="I123" s="209"/>
      <c r="J123" s="209"/>
      <c r="K123" s="209"/>
    </row>
    <row r="124" spans="1:11" ht="12.75" hidden="1">
      <c r="A124" s="106"/>
      <c r="B124" s="206" t="s">
        <v>203</v>
      </c>
      <c r="C124" s="206">
        <v>966</v>
      </c>
      <c r="D124" s="211" t="s">
        <v>85</v>
      </c>
      <c r="E124" s="211" t="s">
        <v>173</v>
      </c>
      <c r="F124" s="206">
        <v>870</v>
      </c>
      <c r="G124" s="206">
        <v>290</v>
      </c>
      <c r="H124" s="212">
        <f>100+190-277.4</f>
        <v>12.600000000000023</v>
      </c>
      <c r="I124" s="209"/>
      <c r="J124" s="209"/>
      <c r="K124" s="209"/>
    </row>
    <row r="125" spans="1:11" ht="12.75">
      <c r="A125" s="106" t="s">
        <v>25</v>
      </c>
      <c r="B125" s="206" t="s">
        <v>13</v>
      </c>
      <c r="C125" s="206">
        <v>966</v>
      </c>
      <c r="D125" s="211" t="s">
        <v>83</v>
      </c>
      <c r="E125" s="211"/>
      <c r="F125" s="206"/>
      <c r="G125" s="206"/>
      <c r="H125" s="212">
        <f>H126+H131+H137+H142+H149+H156+H163+H169+H174+H179</f>
        <v>2632.5</v>
      </c>
      <c r="I125" s="209"/>
      <c r="J125" s="210">
        <v>2632.2</v>
      </c>
      <c r="K125" s="210">
        <f>J125/H125*100</f>
        <v>99.98860398860398</v>
      </c>
    </row>
    <row r="126" spans="1:11" ht="56.25" hidden="1">
      <c r="A126" s="106" t="s">
        <v>31</v>
      </c>
      <c r="B126" s="206" t="s">
        <v>115</v>
      </c>
      <c r="C126" s="206">
        <v>966</v>
      </c>
      <c r="D126" s="211" t="s">
        <v>83</v>
      </c>
      <c r="E126" s="211" t="s">
        <v>174</v>
      </c>
      <c r="F126" s="206"/>
      <c r="G126" s="206"/>
      <c r="H126" s="212">
        <f>H127</f>
        <v>0</v>
      </c>
      <c r="I126" s="209"/>
      <c r="J126" s="209"/>
      <c r="K126" s="209"/>
    </row>
    <row r="127" spans="1:11" ht="22.5" hidden="1">
      <c r="A127" s="106" t="s">
        <v>32</v>
      </c>
      <c r="B127" s="206" t="s">
        <v>24</v>
      </c>
      <c r="C127" s="206">
        <v>966</v>
      </c>
      <c r="D127" s="211" t="s">
        <v>83</v>
      </c>
      <c r="E127" s="211" t="s">
        <v>174</v>
      </c>
      <c r="F127" s="206">
        <v>200</v>
      </c>
      <c r="G127" s="206"/>
      <c r="H127" s="212">
        <f>H128</f>
        <v>0</v>
      </c>
      <c r="I127" s="209"/>
      <c r="J127" s="209"/>
      <c r="K127" s="209"/>
    </row>
    <row r="128" spans="1:11" ht="33.75" hidden="1">
      <c r="A128" s="106"/>
      <c r="B128" s="206" t="s">
        <v>108</v>
      </c>
      <c r="C128" s="206">
        <v>966</v>
      </c>
      <c r="D128" s="211" t="s">
        <v>83</v>
      </c>
      <c r="E128" s="211" t="s">
        <v>174</v>
      </c>
      <c r="F128" s="206">
        <v>240</v>
      </c>
      <c r="G128" s="206"/>
      <c r="H128" s="212">
        <f>H129</f>
        <v>0</v>
      </c>
      <c r="I128" s="209"/>
      <c r="J128" s="209"/>
      <c r="K128" s="209"/>
    </row>
    <row r="129" spans="1:11" ht="33.75" hidden="1">
      <c r="A129" s="106"/>
      <c r="B129" s="206" t="s">
        <v>199</v>
      </c>
      <c r="C129" s="206">
        <v>966</v>
      </c>
      <c r="D129" s="211" t="s">
        <v>83</v>
      </c>
      <c r="E129" s="211" t="s">
        <v>174</v>
      </c>
      <c r="F129" s="206">
        <v>244</v>
      </c>
      <c r="G129" s="206"/>
      <c r="H129" s="212">
        <f>H130</f>
        <v>0</v>
      </c>
      <c r="I129" s="209"/>
      <c r="J129" s="209"/>
      <c r="K129" s="209"/>
    </row>
    <row r="130" spans="1:11" ht="12.75" hidden="1">
      <c r="A130" s="106"/>
      <c r="B130" s="206" t="s">
        <v>208</v>
      </c>
      <c r="C130" s="206">
        <v>966</v>
      </c>
      <c r="D130" s="211" t="s">
        <v>83</v>
      </c>
      <c r="E130" s="211" t="s">
        <v>174</v>
      </c>
      <c r="F130" s="206">
        <v>244</v>
      </c>
      <c r="G130" s="206">
        <v>226</v>
      </c>
      <c r="H130" s="212">
        <f>100-100</f>
        <v>0</v>
      </c>
      <c r="I130" s="209"/>
      <c r="J130" s="209">
        <v>1</v>
      </c>
      <c r="K130" s="209"/>
    </row>
    <row r="131" spans="1:11" ht="78" customHeight="1">
      <c r="A131" s="106" t="s">
        <v>94</v>
      </c>
      <c r="B131" s="206" t="s">
        <v>121</v>
      </c>
      <c r="C131" s="206">
        <v>966</v>
      </c>
      <c r="D131" s="211" t="s">
        <v>83</v>
      </c>
      <c r="E131" s="211" t="s">
        <v>175</v>
      </c>
      <c r="F131" s="206"/>
      <c r="G131" s="206"/>
      <c r="H131" s="212">
        <f>'НЕ УДАЛЯТЬ'!H130</f>
        <v>4.7</v>
      </c>
      <c r="I131" s="209"/>
      <c r="J131" s="209">
        <f>J132</f>
        <v>4.6</v>
      </c>
      <c r="K131" s="210">
        <v>100</v>
      </c>
    </row>
    <row r="132" spans="1:11" ht="34.5" customHeight="1">
      <c r="A132" s="106" t="s">
        <v>28</v>
      </c>
      <c r="B132" s="206" t="s">
        <v>24</v>
      </c>
      <c r="C132" s="206">
        <v>966</v>
      </c>
      <c r="D132" s="211" t="s">
        <v>83</v>
      </c>
      <c r="E132" s="211" t="s">
        <v>175</v>
      </c>
      <c r="F132" s="206">
        <v>200</v>
      </c>
      <c r="G132" s="206"/>
      <c r="H132" s="212">
        <f>'НЕ УДАЛЯТЬ'!H131</f>
        <v>4.7</v>
      </c>
      <c r="I132" s="209"/>
      <c r="J132" s="209">
        <v>4.6</v>
      </c>
      <c r="K132" s="210">
        <v>100</v>
      </c>
    </row>
    <row r="133" spans="1:11" ht="33.75" hidden="1">
      <c r="A133" s="106"/>
      <c r="B133" s="206" t="s">
        <v>108</v>
      </c>
      <c r="C133" s="206">
        <v>966</v>
      </c>
      <c r="D133" s="211" t="s">
        <v>83</v>
      </c>
      <c r="E133" s="211" t="s">
        <v>175</v>
      </c>
      <c r="F133" s="206">
        <v>240</v>
      </c>
      <c r="G133" s="206"/>
      <c r="H133" s="212">
        <f>H134</f>
        <v>4.7</v>
      </c>
      <c r="I133" s="209"/>
      <c r="J133" s="209"/>
      <c r="K133" s="209"/>
    </row>
    <row r="134" spans="1:11" ht="33.75" hidden="1">
      <c r="A134" s="106"/>
      <c r="B134" s="206" t="s">
        <v>199</v>
      </c>
      <c r="C134" s="206">
        <v>966</v>
      </c>
      <c r="D134" s="211" t="s">
        <v>83</v>
      </c>
      <c r="E134" s="211" t="s">
        <v>175</v>
      </c>
      <c r="F134" s="206">
        <v>244</v>
      </c>
      <c r="G134" s="206"/>
      <c r="H134" s="212">
        <f>H136+H135</f>
        <v>4.7</v>
      </c>
      <c r="I134" s="209"/>
      <c r="J134" s="209"/>
      <c r="K134" s="209"/>
    </row>
    <row r="135" spans="1:12" ht="12.75" hidden="1">
      <c r="A135" s="106"/>
      <c r="B135" s="206" t="s">
        <v>208</v>
      </c>
      <c r="C135" s="206">
        <v>966</v>
      </c>
      <c r="D135" s="211" t="s">
        <v>83</v>
      </c>
      <c r="E135" s="211" t="s">
        <v>175</v>
      </c>
      <c r="F135" s="206">
        <v>244</v>
      </c>
      <c r="G135" s="206">
        <v>226</v>
      </c>
      <c r="H135" s="212">
        <f>100-100</f>
        <v>0</v>
      </c>
      <c r="I135" s="209"/>
      <c r="J135" s="209"/>
      <c r="K135" s="209"/>
      <c r="L135">
        <v>-100</v>
      </c>
    </row>
    <row r="136" spans="1:11" ht="22.5" hidden="1">
      <c r="A136" s="106"/>
      <c r="B136" s="206" t="s">
        <v>217</v>
      </c>
      <c r="C136" s="206">
        <v>966</v>
      </c>
      <c r="D136" s="211" t="s">
        <v>83</v>
      </c>
      <c r="E136" s="211" t="s">
        <v>175</v>
      </c>
      <c r="F136" s="206">
        <v>244</v>
      </c>
      <c r="G136" s="206">
        <v>340</v>
      </c>
      <c r="H136" s="212">
        <f>6-1.3</f>
        <v>4.7</v>
      </c>
      <c r="I136" s="209"/>
      <c r="J136" s="209"/>
      <c r="K136" s="209"/>
    </row>
    <row r="137" spans="1:11" ht="59.25" customHeight="1">
      <c r="A137" s="106" t="s">
        <v>464</v>
      </c>
      <c r="B137" s="206" t="s">
        <v>120</v>
      </c>
      <c r="C137" s="206">
        <v>966</v>
      </c>
      <c r="D137" s="211" t="s">
        <v>83</v>
      </c>
      <c r="E137" s="211" t="s">
        <v>176</v>
      </c>
      <c r="F137" s="206"/>
      <c r="G137" s="206"/>
      <c r="H137" s="212">
        <f>'НЕ УДАЛЯТЬ'!H136</f>
        <v>90</v>
      </c>
      <c r="I137" s="209"/>
      <c r="J137" s="209">
        <f>J138</f>
        <v>90</v>
      </c>
      <c r="K137" s="210">
        <v>100</v>
      </c>
    </row>
    <row r="138" spans="1:11" ht="42.75" customHeight="1">
      <c r="A138" s="106" t="s">
        <v>465</v>
      </c>
      <c r="B138" s="206" t="s">
        <v>24</v>
      </c>
      <c r="C138" s="206">
        <v>966</v>
      </c>
      <c r="D138" s="211" t="s">
        <v>83</v>
      </c>
      <c r="E138" s="211" t="s">
        <v>176</v>
      </c>
      <c r="F138" s="206">
        <v>200</v>
      </c>
      <c r="G138" s="206"/>
      <c r="H138" s="212">
        <f>'НЕ УДАЛЯТЬ'!H137</f>
        <v>90</v>
      </c>
      <c r="I138" s="209"/>
      <c r="J138" s="209">
        <v>90</v>
      </c>
      <c r="K138" s="210">
        <v>100</v>
      </c>
    </row>
    <row r="139" spans="1:11" ht="33.75" hidden="1">
      <c r="A139" s="106"/>
      <c r="B139" s="206" t="s">
        <v>108</v>
      </c>
      <c r="C139" s="206">
        <v>966</v>
      </c>
      <c r="D139" s="211" t="s">
        <v>83</v>
      </c>
      <c r="E139" s="211" t="s">
        <v>176</v>
      </c>
      <c r="F139" s="206">
        <v>240</v>
      </c>
      <c r="G139" s="206"/>
      <c r="H139" s="212">
        <f>H140</f>
        <v>90</v>
      </c>
      <c r="I139" s="209"/>
      <c r="J139" s="209"/>
      <c r="K139" s="209"/>
    </row>
    <row r="140" spans="1:11" ht="33.75" hidden="1">
      <c r="A140" s="106"/>
      <c r="B140" s="206" t="s">
        <v>199</v>
      </c>
      <c r="C140" s="206">
        <v>966</v>
      </c>
      <c r="D140" s="211" t="s">
        <v>83</v>
      </c>
      <c r="E140" s="211" t="s">
        <v>176</v>
      </c>
      <c r="F140" s="206">
        <v>244</v>
      </c>
      <c r="G140" s="217"/>
      <c r="H140" s="212">
        <f>H141</f>
        <v>90</v>
      </c>
      <c r="I140" s="209"/>
      <c r="J140" s="209"/>
      <c r="K140" s="209"/>
    </row>
    <row r="141" spans="1:12" ht="12.75" hidden="1">
      <c r="A141" s="106"/>
      <c r="B141" s="206" t="s">
        <v>203</v>
      </c>
      <c r="C141" s="206">
        <v>966</v>
      </c>
      <c r="D141" s="211" t="s">
        <v>83</v>
      </c>
      <c r="E141" s="211" t="s">
        <v>176</v>
      </c>
      <c r="F141" s="206">
        <v>244</v>
      </c>
      <c r="G141" s="206">
        <v>290</v>
      </c>
      <c r="H141" s="212">
        <f>140+378.5-500+71.5</f>
        <v>90</v>
      </c>
      <c r="I141" s="209"/>
      <c r="J141" s="209"/>
      <c r="K141" s="209"/>
      <c r="L141">
        <v>71.5</v>
      </c>
    </row>
    <row r="142" spans="1:11" ht="41.25" customHeight="1">
      <c r="A142" s="106" t="s">
        <v>466</v>
      </c>
      <c r="B142" s="206" t="s">
        <v>114</v>
      </c>
      <c r="C142" s="206">
        <v>966</v>
      </c>
      <c r="D142" s="211" t="s">
        <v>83</v>
      </c>
      <c r="E142" s="211" t="s">
        <v>192</v>
      </c>
      <c r="F142" s="206"/>
      <c r="G142" s="206"/>
      <c r="H142" s="212">
        <f>'НЕ УДАЛЯТЬ'!H141</f>
        <v>651.8</v>
      </c>
      <c r="I142" s="209"/>
      <c r="J142" s="210">
        <f>J143</f>
        <v>651.8</v>
      </c>
      <c r="K142" s="210">
        <v>100</v>
      </c>
    </row>
    <row r="143" spans="1:11" ht="37.5" customHeight="1">
      <c r="A143" s="106" t="s">
        <v>467</v>
      </c>
      <c r="B143" s="206" t="s">
        <v>24</v>
      </c>
      <c r="C143" s="206">
        <v>966</v>
      </c>
      <c r="D143" s="211" t="s">
        <v>83</v>
      </c>
      <c r="E143" s="211" t="s">
        <v>192</v>
      </c>
      <c r="F143" s="206">
        <v>200</v>
      </c>
      <c r="G143" s="206"/>
      <c r="H143" s="212">
        <f>'НЕ УДАЛЯТЬ'!H142</f>
        <v>651.8</v>
      </c>
      <c r="I143" s="209"/>
      <c r="J143" s="210">
        <f>H143</f>
        <v>651.8</v>
      </c>
      <c r="K143" s="210">
        <v>100</v>
      </c>
    </row>
    <row r="144" spans="1:11" ht="33.75" hidden="1">
      <c r="A144" s="106"/>
      <c r="B144" s="206" t="s">
        <v>108</v>
      </c>
      <c r="C144" s="206">
        <v>966</v>
      </c>
      <c r="D144" s="211" t="s">
        <v>83</v>
      </c>
      <c r="E144" s="211" t="s">
        <v>192</v>
      </c>
      <c r="F144" s="206">
        <v>240</v>
      </c>
      <c r="G144" s="206"/>
      <c r="H144" s="212">
        <f>H145</f>
        <v>651.8</v>
      </c>
      <c r="I144" s="209"/>
      <c r="J144" s="209"/>
      <c r="K144" s="209"/>
    </row>
    <row r="145" spans="1:11" ht="33.75" hidden="1">
      <c r="A145" s="106"/>
      <c r="B145" s="206" t="s">
        <v>199</v>
      </c>
      <c r="C145" s="206">
        <v>966</v>
      </c>
      <c r="D145" s="211" t="s">
        <v>83</v>
      </c>
      <c r="E145" s="211" t="s">
        <v>192</v>
      </c>
      <c r="F145" s="206">
        <v>244</v>
      </c>
      <c r="G145" s="206"/>
      <c r="H145" s="212">
        <f>H146+H148+H147</f>
        <v>651.8</v>
      </c>
      <c r="I145" s="209"/>
      <c r="J145" s="209"/>
      <c r="K145" s="209"/>
    </row>
    <row r="146" spans="1:11" ht="12.75" hidden="1">
      <c r="A146" s="106"/>
      <c r="B146" s="206" t="s">
        <v>208</v>
      </c>
      <c r="C146" s="206">
        <v>966</v>
      </c>
      <c r="D146" s="211" t="s">
        <v>83</v>
      </c>
      <c r="E146" s="211" t="s">
        <v>192</v>
      </c>
      <c r="F146" s="206">
        <v>244</v>
      </c>
      <c r="G146" s="206">
        <v>226</v>
      </c>
      <c r="H146" s="212">
        <f>270-270</f>
        <v>0</v>
      </c>
      <c r="I146" s="209"/>
      <c r="J146" s="209"/>
      <c r="K146" s="209">
        <v>33</v>
      </c>
    </row>
    <row r="147" spans="1:11" ht="12.75" hidden="1">
      <c r="A147" s="106"/>
      <c r="B147" s="206" t="s">
        <v>218</v>
      </c>
      <c r="C147" s="206">
        <v>966</v>
      </c>
      <c r="D147" s="211" t="s">
        <v>83</v>
      </c>
      <c r="E147" s="211" t="s">
        <v>192</v>
      </c>
      <c r="F147" s="206">
        <v>244</v>
      </c>
      <c r="G147" s="206">
        <v>310</v>
      </c>
      <c r="H147" s="212">
        <f>647-348</f>
        <v>299</v>
      </c>
      <c r="I147" s="209"/>
      <c r="J147" s="209"/>
      <c r="K147" s="209">
        <v>33</v>
      </c>
    </row>
    <row r="148" spans="1:11" ht="22.5" hidden="1">
      <c r="A148" s="106"/>
      <c r="B148" s="206" t="s">
        <v>217</v>
      </c>
      <c r="C148" s="206">
        <v>966</v>
      </c>
      <c r="D148" s="211" t="s">
        <v>83</v>
      </c>
      <c r="E148" s="211" t="s">
        <v>192</v>
      </c>
      <c r="F148" s="206">
        <v>244</v>
      </c>
      <c r="G148" s="206">
        <v>340</v>
      </c>
      <c r="H148" s="212">
        <f>353-0.2</f>
        <v>352.8</v>
      </c>
      <c r="I148" s="209"/>
      <c r="J148" s="209">
        <v>1</v>
      </c>
      <c r="K148" s="209">
        <v>33</v>
      </c>
    </row>
    <row r="149" spans="1:11" ht="104.25" customHeight="1">
      <c r="A149" s="106" t="s">
        <v>468</v>
      </c>
      <c r="B149" s="206" t="s">
        <v>119</v>
      </c>
      <c r="C149" s="206">
        <v>966</v>
      </c>
      <c r="D149" s="211" t="s">
        <v>83</v>
      </c>
      <c r="E149" s="211" t="s">
        <v>177</v>
      </c>
      <c r="F149" s="206"/>
      <c r="G149" s="206"/>
      <c r="H149" s="212">
        <f>H150</f>
        <v>94.3</v>
      </c>
      <c r="I149" s="209"/>
      <c r="J149" s="209">
        <f>J150</f>
        <v>94.2</v>
      </c>
      <c r="K149" s="210">
        <f>J149/H149*100</f>
        <v>99.89395546129374</v>
      </c>
    </row>
    <row r="150" spans="1:11" ht="45.75" customHeight="1">
      <c r="A150" s="106" t="s">
        <v>469</v>
      </c>
      <c r="B150" s="206" t="s">
        <v>24</v>
      </c>
      <c r="C150" s="206">
        <v>966</v>
      </c>
      <c r="D150" s="211" t="s">
        <v>83</v>
      </c>
      <c r="E150" s="211" t="s">
        <v>177</v>
      </c>
      <c r="F150" s="206">
        <v>200</v>
      </c>
      <c r="G150" s="206"/>
      <c r="H150" s="212">
        <f>'НЕ УДАЛЯТЬ'!H149</f>
        <v>94.3</v>
      </c>
      <c r="I150" s="209"/>
      <c r="J150" s="209">
        <v>94.2</v>
      </c>
      <c r="K150" s="210">
        <f>J150/H150*100</f>
        <v>99.89395546129374</v>
      </c>
    </row>
    <row r="151" spans="1:11" ht="33.75" hidden="1">
      <c r="A151" s="106"/>
      <c r="B151" s="206" t="s">
        <v>108</v>
      </c>
      <c r="C151" s="206">
        <v>966</v>
      </c>
      <c r="D151" s="211" t="s">
        <v>83</v>
      </c>
      <c r="E151" s="211" t="s">
        <v>177</v>
      </c>
      <c r="F151" s="206">
        <v>240</v>
      </c>
      <c r="G151" s="206"/>
      <c r="H151" s="212">
        <f>H152</f>
        <v>94.3</v>
      </c>
      <c r="I151" s="209"/>
      <c r="J151" s="209"/>
      <c r="K151" s="209"/>
    </row>
    <row r="152" spans="1:11" ht="33.75" hidden="1">
      <c r="A152" s="106"/>
      <c r="B152" s="206" t="s">
        <v>199</v>
      </c>
      <c r="C152" s="206">
        <v>966</v>
      </c>
      <c r="D152" s="211" t="s">
        <v>83</v>
      </c>
      <c r="E152" s="211" t="s">
        <v>177</v>
      </c>
      <c r="F152" s="206">
        <v>244</v>
      </c>
      <c r="G152" s="206"/>
      <c r="H152" s="212">
        <f>H155+H154</f>
        <v>94.3</v>
      </c>
      <c r="I152" s="209"/>
      <c r="J152" s="209"/>
      <c r="K152" s="209"/>
    </row>
    <row r="153" spans="1:12" ht="12.75" hidden="1">
      <c r="A153" s="106"/>
      <c r="B153" s="206" t="s">
        <v>208</v>
      </c>
      <c r="C153" s="206">
        <v>966</v>
      </c>
      <c r="D153" s="211" t="s">
        <v>83</v>
      </c>
      <c r="E153" s="211" t="s">
        <v>177</v>
      </c>
      <c r="F153" s="206">
        <v>244</v>
      </c>
      <c r="G153" s="206">
        <v>226</v>
      </c>
      <c r="H153" s="212">
        <f>100-100</f>
        <v>0</v>
      </c>
      <c r="I153" s="209"/>
      <c r="J153" s="209"/>
      <c r="K153" s="209"/>
      <c r="L153">
        <v>-100</v>
      </c>
    </row>
    <row r="154" spans="1:12" ht="12.75" hidden="1">
      <c r="A154" s="106"/>
      <c r="B154" s="206" t="s">
        <v>203</v>
      </c>
      <c r="C154" s="206">
        <v>966</v>
      </c>
      <c r="D154" s="211" t="s">
        <v>83</v>
      </c>
      <c r="E154" s="211" t="s">
        <v>177</v>
      </c>
      <c r="F154" s="206">
        <v>244</v>
      </c>
      <c r="G154" s="206">
        <v>290</v>
      </c>
      <c r="H154" s="212">
        <f>100-10</f>
        <v>90</v>
      </c>
      <c r="I154" s="209"/>
      <c r="J154" s="209"/>
      <c r="K154" s="209"/>
      <c r="L154">
        <v>90</v>
      </c>
    </row>
    <row r="155" spans="1:11" ht="22.5" hidden="1">
      <c r="A155" s="106"/>
      <c r="B155" s="206" t="s">
        <v>217</v>
      </c>
      <c r="C155" s="206">
        <v>966</v>
      </c>
      <c r="D155" s="211" t="s">
        <v>83</v>
      </c>
      <c r="E155" s="211" t="s">
        <v>177</v>
      </c>
      <c r="F155" s="206">
        <v>244</v>
      </c>
      <c r="G155" s="206">
        <v>340</v>
      </c>
      <c r="H155" s="212">
        <f>5.5-1.2</f>
        <v>4.3</v>
      </c>
      <c r="I155" s="209"/>
      <c r="J155" s="209">
        <v>1</v>
      </c>
      <c r="K155" s="209"/>
    </row>
    <row r="156" spans="1:11" ht="48" customHeight="1">
      <c r="A156" s="106" t="s">
        <v>470</v>
      </c>
      <c r="B156" s="206" t="s">
        <v>118</v>
      </c>
      <c r="C156" s="206">
        <v>966</v>
      </c>
      <c r="D156" s="211" t="s">
        <v>83</v>
      </c>
      <c r="E156" s="211" t="s">
        <v>230</v>
      </c>
      <c r="F156" s="206"/>
      <c r="G156" s="206"/>
      <c r="H156" s="212">
        <f>H157</f>
        <v>94.2</v>
      </c>
      <c r="I156" s="209"/>
      <c r="J156" s="209">
        <f>J157</f>
        <v>94.2</v>
      </c>
      <c r="K156" s="210">
        <f>J156/H156*100</f>
        <v>100</v>
      </c>
    </row>
    <row r="157" spans="1:11" ht="44.25" customHeight="1">
      <c r="A157" s="106" t="s">
        <v>471</v>
      </c>
      <c r="B157" s="206" t="s">
        <v>24</v>
      </c>
      <c r="C157" s="206">
        <v>966</v>
      </c>
      <c r="D157" s="211" t="s">
        <v>83</v>
      </c>
      <c r="E157" s="211" t="s">
        <v>230</v>
      </c>
      <c r="F157" s="206">
        <v>200</v>
      </c>
      <c r="G157" s="206"/>
      <c r="H157" s="212">
        <f>'НЕ УДАЛЯТЬ'!H156</f>
        <v>94.2</v>
      </c>
      <c r="I157" s="209"/>
      <c r="J157" s="209">
        <v>94.2</v>
      </c>
      <c r="K157" s="210">
        <v>100</v>
      </c>
    </row>
    <row r="158" spans="1:11" ht="33.75" hidden="1">
      <c r="A158" s="106"/>
      <c r="B158" s="206" t="s">
        <v>108</v>
      </c>
      <c r="C158" s="206">
        <v>966</v>
      </c>
      <c r="D158" s="211" t="s">
        <v>83</v>
      </c>
      <c r="E158" s="211" t="s">
        <v>230</v>
      </c>
      <c r="F158" s="206">
        <v>240</v>
      </c>
      <c r="G158" s="206"/>
      <c r="H158" s="212">
        <f>H159</f>
        <v>94.2</v>
      </c>
      <c r="I158" s="209"/>
      <c r="J158" s="209"/>
      <c r="K158" s="209"/>
    </row>
    <row r="159" spans="1:11" ht="33.75" hidden="1">
      <c r="A159" s="106"/>
      <c r="B159" s="206" t="s">
        <v>199</v>
      </c>
      <c r="C159" s="206">
        <v>966</v>
      </c>
      <c r="D159" s="211" t="s">
        <v>83</v>
      </c>
      <c r="E159" s="211" t="s">
        <v>230</v>
      </c>
      <c r="F159" s="206">
        <v>244</v>
      </c>
      <c r="G159" s="206"/>
      <c r="H159" s="212">
        <f>SUM(H161:H162)</f>
        <v>94.2</v>
      </c>
      <c r="I159" s="209"/>
      <c r="J159" s="209"/>
      <c r="K159" s="209"/>
    </row>
    <row r="160" spans="1:11" ht="12.75" hidden="1">
      <c r="A160" s="106"/>
      <c r="B160" s="206" t="s">
        <v>208</v>
      </c>
      <c r="C160" s="206">
        <v>966</v>
      </c>
      <c r="D160" s="211" t="s">
        <v>83</v>
      </c>
      <c r="E160" s="211" t="s">
        <v>230</v>
      </c>
      <c r="F160" s="206">
        <v>244</v>
      </c>
      <c r="G160" s="206">
        <v>226</v>
      </c>
      <c r="H160" s="212">
        <f>90-90</f>
        <v>0</v>
      </c>
      <c r="I160" s="209"/>
      <c r="J160" s="209">
        <v>1</v>
      </c>
      <c r="K160" s="209"/>
    </row>
    <row r="161" spans="1:12" ht="12.75" hidden="1">
      <c r="A161" s="106"/>
      <c r="B161" s="206" t="s">
        <v>203</v>
      </c>
      <c r="C161" s="206">
        <v>966</v>
      </c>
      <c r="D161" s="211" t="s">
        <v>83</v>
      </c>
      <c r="E161" s="211" t="s">
        <v>230</v>
      </c>
      <c r="F161" s="206">
        <v>244</v>
      </c>
      <c r="G161" s="206">
        <v>290</v>
      </c>
      <c r="H161" s="212">
        <v>90</v>
      </c>
      <c r="I161" s="209"/>
      <c r="J161" s="209">
        <v>1</v>
      </c>
      <c r="K161" s="209"/>
      <c r="L161">
        <v>90</v>
      </c>
    </row>
    <row r="162" spans="1:11" ht="22.5" hidden="1">
      <c r="A162" s="106"/>
      <c r="B162" s="206" t="s">
        <v>217</v>
      </c>
      <c r="C162" s="206">
        <v>966</v>
      </c>
      <c r="D162" s="211" t="s">
        <v>83</v>
      </c>
      <c r="E162" s="211" t="s">
        <v>230</v>
      </c>
      <c r="F162" s="206">
        <v>244</v>
      </c>
      <c r="G162" s="206">
        <v>340</v>
      </c>
      <c r="H162" s="212">
        <f>5.5-1.3</f>
        <v>4.2</v>
      </c>
      <c r="I162" s="209"/>
      <c r="J162" s="209">
        <v>1</v>
      </c>
      <c r="K162" s="209"/>
    </row>
    <row r="163" spans="1:11" ht="89.25" customHeight="1">
      <c r="A163" s="106" t="s">
        <v>472</v>
      </c>
      <c r="B163" s="206" t="s">
        <v>117</v>
      </c>
      <c r="C163" s="206">
        <v>966</v>
      </c>
      <c r="D163" s="211" t="s">
        <v>83</v>
      </c>
      <c r="E163" s="211" t="s">
        <v>178</v>
      </c>
      <c r="F163" s="206"/>
      <c r="G163" s="206"/>
      <c r="H163" s="212">
        <f>H164</f>
        <v>94.2</v>
      </c>
      <c r="I163" s="209"/>
      <c r="J163" s="209">
        <f>J164</f>
        <v>94.1</v>
      </c>
      <c r="K163" s="210">
        <f>J163/H163*100</f>
        <v>99.89384288747345</v>
      </c>
    </row>
    <row r="164" spans="1:11" ht="42" customHeight="1">
      <c r="A164" s="106" t="s">
        <v>473</v>
      </c>
      <c r="B164" s="206" t="s">
        <v>24</v>
      </c>
      <c r="C164" s="206">
        <v>966</v>
      </c>
      <c r="D164" s="211" t="s">
        <v>83</v>
      </c>
      <c r="E164" s="211" t="s">
        <v>178</v>
      </c>
      <c r="F164" s="206">
        <v>200</v>
      </c>
      <c r="G164" s="206"/>
      <c r="H164" s="212">
        <f>'НЕ УДАЛЯТЬ'!H163</f>
        <v>94.2</v>
      </c>
      <c r="I164" s="209"/>
      <c r="J164" s="209">
        <v>94.1</v>
      </c>
      <c r="K164" s="210">
        <f>J164/H164*100</f>
        <v>99.89384288747345</v>
      </c>
    </row>
    <row r="165" spans="1:11" ht="33.75" hidden="1">
      <c r="A165" s="106"/>
      <c r="B165" s="206" t="s">
        <v>108</v>
      </c>
      <c r="C165" s="206">
        <v>966</v>
      </c>
      <c r="D165" s="211" t="s">
        <v>83</v>
      </c>
      <c r="E165" s="211" t="s">
        <v>178</v>
      </c>
      <c r="F165" s="206">
        <v>240</v>
      </c>
      <c r="G165" s="206"/>
      <c r="H165" s="212">
        <f>H166</f>
        <v>94.2</v>
      </c>
      <c r="I165" s="209"/>
      <c r="J165" s="209"/>
      <c r="K165" s="209"/>
    </row>
    <row r="166" spans="1:11" ht="33.75" hidden="1">
      <c r="A166" s="106"/>
      <c r="B166" s="206" t="s">
        <v>199</v>
      </c>
      <c r="C166" s="206">
        <v>966</v>
      </c>
      <c r="D166" s="211" t="s">
        <v>83</v>
      </c>
      <c r="E166" s="211" t="s">
        <v>178</v>
      </c>
      <c r="F166" s="206">
        <v>244</v>
      </c>
      <c r="G166" s="206"/>
      <c r="H166" s="212">
        <f>H168+H167</f>
        <v>94.2</v>
      </c>
      <c r="I166" s="209"/>
      <c r="J166" s="209"/>
      <c r="K166" s="209"/>
    </row>
    <row r="167" spans="1:12" ht="12.75" hidden="1">
      <c r="A167" s="106"/>
      <c r="B167" s="206" t="s">
        <v>203</v>
      </c>
      <c r="C167" s="206">
        <v>966</v>
      </c>
      <c r="D167" s="211" t="s">
        <v>83</v>
      </c>
      <c r="E167" s="211" t="s">
        <v>178</v>
      </c>
      <c r="F167" s="206">
        <v>244</v>
      </c>
      <c r="G167" s="206">
        <v>290</v>
      </c>
      <c r="H167" s="212">
        <f>100-10</f>
        <v>90</v>
      </c>
      <c r="I167" s="209"/>
      <c r="J167" s="209"/>
      <c r="K167" s="209"/>
      <c r="L167">
        <v>-10</v>
      </c>
    </row>
    <row r="168" spans="1:12" ht="22.5" hidden="1">
      <c r="A168" s="106"/>
      <c r="B168" s="206" t="s">
        <v>217</v>
      </c>
      <c r="C168" s="206">
        <v>966</v>
      </c>
      <c r="D168" s="211" t="s">
        <v>83</v>
      </c>
      <c r="E168" s="211" t="s">
        <v>178</v>
      </c>
      <c r="F168" s="206">
        <v>244</v>
      </c>
      <c r="G168" s="206">
        <v>340</v>
      </c>
      <c r="H168" s="212">
        <f>5.5-1.2-0.1</f>
        <v>4.2</v>
      </c>
      <c r="I168" s="209"/>
      <c r="J168" s="209">
        <v>1</v>
      </c>
      <c r="K168" s="209"/>
      <c r="L168">
        <v>-0.1</v>
      </c>
    </row>
    <row r="169" spans="1:11" ht="36.75" customHeight="1">
      <c r="A169" s="106" t="s">
        <v>474</v>
      </c>
      <c r="B169" s="206" t="s">
        <v>116</v>
      </c>
      <c r="C169" s="206">
        <v>966</v>
      </c>
      <c r="D169" s="211" t="s">
        <v>83</v>
      </c>
      <c r="E169" s="211" t="s">
        <v>179</v>
      </c>
      <c r="F169" s="206"/>
      <c r="G169" s="206"/>
      <c r="H169" s="212">
        <f>H170</f>
        <v>198</v>
      </c>
      <c r="I169" s="209"/>
      <c r="J169" s="209">
        <f>J170</f>
        <v>198</v>
      </c>
      <c r="K169" s="210">
        <v>100</v>
      </c>
    </row>
    <row r="170" spans="1:11" ht="36" customHeight="1">
      <c r="A170" s="106" t="s">
        <v>475</v>
      </c>
      <c r="B170" s="206" t="s">
        <v>24</v>
      </c>
      <c r="C170" s="206">
        <v>966</v>
      </c>
      <c r="D170" s="211" t="s">
        <v>83</v>
      </c>
      <c r="E170" s="211" t="s">
        <v>179</v>
      </c>
      <c r="F170" s="206">
        <v>200</v>
      </c>
      <c r="G170" s="206"/>
      <c r="H170" s="212">
        <f>'НЕ УДАЛЯТЬ'!H169</f>
        <v>198</v>
      </c>
      <c r="I170" s="209"/>
      <c r="J170" s="209">
        <v>198</v>
      </c>
      <c r="K170" s="210">
        <f>K169</f>
        <v>100</v>
      </c>
    </row>
    <row r="171" spans="1:11" ht="33.75" hidden="1">
      <c r="A171" s="106"/>
      <c r="B171" s="206" t="s">
        <v>108</v>
      </c>
      <c r="C171" s="206">
        <v>966</v>
      </c>
      <c r="D171" s="211" t="s">
        <v>83</v>
      </c>
      <c r="E171" s="211" t="s">
        <v>179</v>
      </c>
      <c r="F171" s="206">
        <v>240</v>
      </c>
      <c r="G171" s="206"/>
      <c r="H171" s="212">
        <f>H172</f>
        <v>208</v>
      </c>
      <c r="I171" s="209"/>
      <c r="J171" s="209"/>
      <c r="K171" s="209"/>
    </row>
    <row r="172" spans="1:11" ht="33.75" hidden="1">
      <c r="A172" s="106"/>
      <c r="B172" s="206" t="s">
        <v>199</v>
      </c>
      <c r="C172" s="206">
        <v>966</v>
      </c>
      <c r="D172" s="211" t="s">
        <v>83</v>
      </c>
      <c r="E172" s="211" t="s">
        <v>179</v>
      </c>
      <c r="F172" s="206">
        <v>244</v>
      </c>
      <c r="G172" s="206"/>
      <c r="H172" s="212">
        <f>H173</f>
        <v>208</v>
      </c>
      <c r="I172" s="209"/>
      <c r="J172" s="209"/>
      <c r="K172" s="209"/>
    </row>
    <row r="173" spans="1:12" ht="12.75" hidden="1">
      <c r="A173" s="106"/>
      <c r="B173" s="206" t="s">
        <v>208</v>
      </c>
      <c r="C173" s="206">
        <v>966</v>
      </c>
      <c r="D173" s="211" t="s">
        <v>83</v>
      </c>
      <c r="E173" s="211" t="s">
        <v>179</v>
      </c>
      <c r="F173" s="206">
        <v>244</v>
      </c>
      <c r="G173" s="206">
        <v>226</v>
      </c>
      <c r="H173" s="212">
        <f>220-22+10</f>
        <v>208</v>
      </c>
      <c r="I173" s="209"/>
      <c r="J173" s="209"/>
      <c r="K173" s="209"/>
      <c r="L173">
        <v>10</v>
      </c>
    </row>
    <row r="174" spans="1:11" ht="48.75" customHeight="1">
      <c r="A174" s="106" t="s">
        <v>476</v>
      </c>
      <c r="B174" s="206" t="s">
        <v>165</v>
      </c>
      <c r="C174" s="206">
        <v>966</v>
      </c>
      <c r="D174" s="211" t="s">
        <v>83</v>
      </c>
      <c r="E174" s="211" t="s">
        <v>180</v>
      </c>
      <c r="F174" s="206"/>
      <c r="G174" s="206"/>
      <c r="H174" s="212">
        <f>H175</f>
        <v>19.3</v>
      </c>
      <c r="I174" s="209"/>
      <c r="J174" s="209">
        <f>J175</f>
        <v>19.3</v>
      </c>
      <c r="K174" s="210">
        <f>K175</f>
        <v>100</v>
      </c>
    </row>
    <row r="175" spans="1:11" ht="39.75" customHeight="1">
      <c r="A175" s="106" t="s">
        <v>477</v>
      </c>
      <c r="B175" s="206" t="s">
        <v>24</v>
      </c>
      <c r="C175" s="206">
        <v>966</v>
      </c>
      <c r="D175" s="211" t="s">
        <v>83</v>
      </c>
      <c r="E175" s="211" t="s">
        <v>180</v>
      </c>
      <c r="F175" s="206">
        <v>200</v>
      </c>
      <c r="G175" s="206"/>
      <c r="H175" s="212">
        <f>'НЕ УДАЛЯТЬ'!H174</f>
        <v>19.3</v>
      </c>
      <c r="I175" s="209"/>
      <c r="J175" s="209">
        <v>19.3</v>
      </c>
      <c r="K175" s="210">
        <f>100</f>
        <v>100</v>
      </c>
    </row>
    <row r="176" spans="1:11" ht="33.75" hidden="1">
      <c r="A176" s="106"/>
      <c r="B176" s="206" t="s">
        <v>108</v>
      </c>
      <c r="C176" s="206">
        <v>966</v>
      </c>
      <c r="D176" s="211" t="s">
        <v>83</v>
      </c>
      <c r="E176" s="211" t="s">
        <v>180</v>
      </c>
      <c r="F176" s="206">
        <v>240</v>
      </c>
      <c r="G176" s="206"/>
      <c r="H176" s="212">
        <f>H177</f>
        <v>19.3</v>
      </c>
      <c r="I176" s="209"/>
      <c r="J176" s="209"/>
      <c r="K176" s="209"/>
    </row>
    <row r="177" spans="1:11" ht="33.75" hidden="1">
      <c r="A177" s="106"/>
      <c r="B177" s="206" t="s">
        <v>199</v>
      </c>
      <c r="C177" s="206">
        <v>966</v>
      </c>
      <c r="D177" s="211" t="s">
        <v>83</v>
      </c>
      <c r="E177" s="211" t="s">
        <v>180</v>
      </c>
      <c r="F177" s="206">
        <v>244</v>
      </c>
      <c r="G177" s="206"/>
      <c r="H177" s="212">
        <f>H178</f>
        <v>19.3</v>
      </c>
      <c r="I177" s="209"/>
      <c r="J177" s="209"/>
      <c r="K177" s="209"/>
    </row>
    <row r="178" spans="1:11" ht="22.5" hidden="1">
      <c r="A178" s="106"/>
      <c r="B178" s="206" t="s">
        <v>217</v>
      </c>
      <c r="C178" s="206">
        <v>966</v>
      </c>
      <c r="D178" s="211" t="s">
        <v>83</v>
      </c>
      <c r="E178" s="211" t="s">
        <v>180</v>
      </c>
      <c r="F178" s="206">
        <v>244</v>
      </c>
      <c r="G178" s="206">
        <v>340</v>
      </c>
      <c r="H178" s="212">
        <f>25-5.7</f>
        <v>19.3</v>
      </c>
      <c r="I178" s="209"/>
      <c r="J178" s="209">
        <v>1</v>
      </c>
      <c r="K178" s="209"/>
    </row>
    <row r="179" spans="1:11" ht="40.5" customHeight="1">
      <c r="A179" s="106" t="s">
        <v>478</v>
      </c>
      <c r="B179" s="206" t="s">
        <v>260</v>
      </c>
      <c r="C179" s="206">
        <v>966</v>
      </c>
      <c r="D179" s="211" t="s">
        <v>83</v>
      </c>
      <c r="E179" s="211" t="s">
        <v>255</v>
      </c>
      <c r="F179" s="206"/>
      <c r="G179" s="217"/>
      <c r="H179" s="212">
        <f>H180</f>
        <v>1386</v>
      </c>
      <c r="I179" s="209"/>
      <c r="J179" s="209">
        <f>J180</f>
        <v>1385.9</v>
      </c>
      <c r="K179" s="210">
        <f>K180</f>
        <v>99.992784992785</v>
      </c>
    </row>
    <row r="180" spans="1:11" ht="77.25" customHeight="1">
      <c r="A180" s="106" t="s">
        <v>479</v>
      </c>
      <c r="B180" s="206" t="s">
        <v>105</v>
      </c>
      <c r="C180" s="206">
        <v>966</v>
      </c>
      <c r="D180" s="211" t="s">
        <v>83</v>
      </c>
      <c r="E180" s="211" t="s">
        <v>255</v>
      </c>
      <c r="F180" s="206">
        <v>100</v>
      </c>
      <c r="G180" s="217"/>
      <c r="H180" s="212">
        <f>'НЕ УДАЛЯТЬ'!H179</f>
        <v>1386</v>
      </c>
      <c r="I180" s="209"/>
      <c r="J180" s="209">
        <v>1385.9</v>
      </c>
      <c r="K180" s="210">
        <f>J180/H180*100</f>
        <v>99.992784992785</v>
      </c>
    </row>
    <row r="181" spans="1:11" ht="33.75" hidden="1">
      <c r="A181" s="106"/>
      <c r="B181" s="206" t="s">
        <v>257</v>
      </c>
      <c r="C181" s="206">
        <v>966</v>
      </c>
      <c r="D181" s="211" t="s">
        <v>83</v>
      </c>
      <c r="E181" s="211" t="s">
        <v>255</v>
      </c>
      <c r="F181" s="206">
        <v>110</v>
      </c>
      <c r="G181" s="217"/>
      <c r="H181" s="212">
        <f>H182+H184</f>
        <v>1356.2</v>
      </c>
      <c r="I181" s="209"/>
      <c r="J181" s="209"/>
      <c r="K181" s="209"/>
    </row>
    <row r="182" spans="1:11" ht="22.5" hidden="1">
      <c r="A182" s="106"/>
      <c r="B182" s="206" t="s">
        <v>254</v>
      </c>
      <c r="C182" s="206">
        <v>966</v>
      </c>
      <c r="D182" s="211" t="s">
        <v>83</v>
      </c>
      <c r="E182" s="211" t="s">
        <v>255</v>
      </c>
      <c r="F182" s="206">
        <v>111</v>
      </c>
      <c r="G182" s="206"/>
      <c r="H182" s="212">
        <f>H183</f>
        <v>1062.2</v>
      </c>
      <c r="I182" s="209"/>
      <c r="J182" s="209"/>
      <c r="K182" s="209"/>
    </row>
    <row r="183" spans="1:12" ht="12.75" hidden="1">
      <c r="A183" s="106"/>
      <c r="B183" s="206" t="s">
        <v>206</v>
      </c>
      <c r="C183" s="206">
        <v>966</v>
      </c>
      <c r="D183" s="211" t="s">
        <v>83</v>
      </c>
      <c r="E183" s="211" t="s">
        <v>255</v>
      </c>
      <c r="F183" s="206">
        <v>111</v>
      </c>
      <c r="G183" s="206">
        <v>211</v>
      </c>
      <c r="H183" s="212">
        <f>1143.3-81.1</f>
        <v>1062.2</v>
      </c>
      <c r="I183" s="209"/>
      <c r="J183" s="209"/>
      <c r="K183" s="209"/>
      <c r="L183">
        <v>-81.1</v>
      </c>
    </row>
    <row r="184" spans="1:11" ht="56.25" hidden="1">
      <c r="A184" s="106"/>
      <c r="B184" s="206" t="s">
        <v>258</v>
      </c>
      <c r="C184" s="206">
        <v>966</v>
      </c>
      <c r="D184" s="211" t="s">
        <v>83</v>
      </c>
      <c r="E184" s="211" t="s">
        <v>255</v>
      </c>
      <c r="F184" s="206">
        <v>119</v>
      </c>
      <c r="G184" s="206"/>
      <c r="H184" s="212">
        <f>H185</f>
        <v>294</v>
      </c>
      <c r="I184" s="209"/>
      <c r="J184" s="209"/>
      <c r="K184" s="209"/>
    </row>
    <row r="185" spans="1:12" ht="12.75" hidden="1">
      <c r="A185" s="106"/>
      <c r="B185" s="206" t="s">
        <v>207</v>
      </c>
      <c r="C185" s="206">
        <v>966</v>
      </c>
      <c r="D185" s="211" t="s">
        <v>83</v>
      </c>
      <c r="E185" s="211" t="s">
        <v>255</v>
      </c>
      <c r="F185" s="206">
        <v>119</v>
      </c>
      <c r="G185" s="206">
        <v>213</v>
      </c>
      <c r="H185" s="212">
        <f>343-49</f>
        <v>294</v>
      </c>
      <c r="I185" s="209"/>
      <c r="J185" s="209"/>
      <c r="K185" s="209"/>
      <c r="L185">
        <v>-49</v>
      </c>
    </row>
    <row r="186" spans="1:11" ht="36.75" customHeight="1">
      <c r="A186" s="106" t="s">
        <v>43</v>
      </c>
      <c r="B186" s="206" t="s">
        <v>44</v>
      </c>
      <c r="C186" s="206">
        <v>966</v>
      </c>
      <c r="D186" s="211" t="s">
        <v>86</v>
      </c>
      <c r="E186" s="211"/>
      <c r="F186" s="206"/>
      <c r="G186" s="206"/>
      <c r="H186" s="212">
        <f>H187</f>
        <v>953.2</v>
      </c>
      <c r="I186" s="209"/>
      <c r="J186" s="210">
        <f>J187</f>
        <v>953.2</v>
      </c>
      <c r="K186" s="210">
        <f>K187</f>
        <v>100</v>
      </c>
    </row>
    <row r="187" spans="1:11" ht="44.25" customHeight="1">
      <c r="A187" s="106" t="s">
        <v>45</v>
      </c>
      <c r="B187" s="206" t="s">
        <v>46</v>
      </c>
      <c r="C187" s="206">
        <v>966</v>
      </c>
      <c r="D187" s="211" t="s">
        <v>87</v>
      </c>
      <c r="E187" s="211"/>
      <c r="F187" s="206"/>
      <c r="G187" s="206"/>
      <c r="H187" s="212">
        <f>H188+H194</f>
        <v>953.2</v>
      </c>
      <c r="I187" s="209"/>
      <c r="J187" s="210">
        <f>J188+J194</f>
        <v>953.2</v>
      </c>
      <c r="K187" s="210">
        <f>K188</f>
        <v>100</v>
      </c>
    </row>
    <row r="188" spans="1:11" ht="107.25" customHeight="1">
      <c r="A188" s="106" t="s">
        <v>161</v>
      </c>
      <c r="B188" s="206" t="s">
        <v>162</v>
      </c>
      <c r="C188" s="206">
        <v>966</v>
      </c>
      <c r="D188" s="211" t="s">
        <v>87</v>
      </c>
      <c r="E188" s="211" t="s">
        <v>181</v>
      </c>
      <c r="F188" s="206"/>
      <c r="G188" s="206"/>
      <c r="H188" s="212">
        <f>H189</f>
        <v>10</v>
      </c>
      <c r="I188" s="209"/>
      <c r="J188" s="210">
        <f>J189</f>
        <v>10</v>
      </c>
      <c r="K188" s="210">
        <f>K189</f>
        <v>100</v>
      </c>
    </row>
    <row r="189" spans="1:11" ht="38.25" customHeight="1">
      <c r="A189" s="106" t="s">
        <v>163</v>
      </c>
      <c r="B189" s="206" t="s">
        <v>24</v>
      </c>
      <c r="C189" s="206">
        <v>966</v>
      </c>
      <c r="D189" s="211" t="s">
        <v>87</v>
      </c>
      <c r="E189" s="211" t="s">
        <v>181</v>
      </c>
      <c r="F189" s="206">
        <v>200</v>
      </c>
      <c r="G189" s="206"/>
      <c r="H189" s="212">
        <f>'НЕ УДАЛЯТЬ'!H188</f>
        <v>10</v>
      </c>
      <c r="I189" s="209"/>
      <c r="J189" s="210">
        <f>H189</f>
        <v>10</v>
      </c>
      <c r="K189" s="210">
        <f>K194</f>
        <v>100</v>
      </c>
    </row>
    <row r="190" spans="1:11" ht="33.75" hidden="1">
      <c r="A190" s="106"/>
      <c r="B190" s="206" t="s">
        <v>108</v>
      </c>
      <c r="C190" s="206">
        <v>966</v>
      </c>
      <c r="D190" s="211" t="s">
        <v>87</v>
      </c>
      <c r="E190" s="211" t="s">
        <v>181</v>
      </c>
      <c r="F190" s="206">
        <v>240</v>
      </c>
      <c r="G190" s="206"/>
      <c r="H190" s="212">
        <f>H191</f>
        <v>80</v>
      </c>
      <c r="I190" s="209"/>
      <c r="J190" s="209"/>
      <c r="K190" s="209"/>
    </row>
    <row r="191" spans="1:11" ht="33.75" hidden="1">
      <c r="A191" s="106"/>
      <c r="B191" s="206" t="s">
        <v>199</v>
      </c>
      <c r="C191" s="206">
        <v>966</v>
      </c>
      <c r="D191" s="211" t="s">
        <v>87</v>
      </c>
      <c r="E191" s="211" t="s">
        <v>181</v>
      </c>
      <c r="F191" s="206">
        <v>244</v>
      </c>
      <c r="G191" s="206"/>
      <c r="H191" s="212">
        <f>H192+H193</f>
        <v>80</v>
      </c>
      <c r="I191" s="209"/>
      <c r="J191" s="209"/>
      <c r="K191" s="209"/>
    </row>
    <row r="192" spans="1:11" ht="12.75" hidden="1">
      <c r="A192" s="106"/>
      <c r="B192" s="206" t="s">
        <v>208</v>
      </c>
      <c r="C192" s="206">
        <v>966</v>
      </c>
      <c r="D192" s="211" t="s">
        <v>87</v>
      </c>
      <c r="E192" s="211" t="s">
        <v>181</v>
      </c>
      <c r="F192" s="206">
        <v>244</v>
      </c>
      <c r="G192" s="206">
        <v>226</v>
      </c>
      <c r="H192" s="212">
        <f>80-40</f>
        <v>40</v>
      </c>
      <c r="I192" s="209"/>
      <c r="J192" s="209"/>
      <c r="K192" s="209">
        <v>2</v>
      </c>
    </row>
    <row r="193" spans="1:11" ht="12.75" hidden="1">
      <c r="A193" s="106"/>
      <c r="B193" s="206" t="s">
        <v>218</v>
      </c>
      <c r="C193" s="206">
        <v>966</v>
      </c>
      <c r="D193" s="211" t="s">
        <v>87</v>
      </c>
      <c r="E193" s="211" t="s">
        <v>181</v>
      </c>
      <c r="F193" s="206">
        <v>244</v>
      </c>
      <c r="G193" s="206">
        <v>310</v>
      </c>
      <c r="H193" s="212">
        <v>40</v>
      </c>
      <c r="I193" s="209"/>
      <c r="J193" s="209"/>
      <c r="K193" s="209">
        <v>2</v>
      </c>
    </row>
    <row r="194" spans="1:11" ht="76.5" customHeight="1">
      <c r="A194" s="106" t="s">
        <v>47</v>
      </c>
      <c r="B194" s="206" t="s">
        <v>112</v>
      </c>
      <c r="C194" s="206">
        <v>966</v>
      </c>
      <c r="D194" s="211" t="s">
        <v>87</v>
      </c>
      <c r="E194" s="211" t="s">
        <v>182</v>
      </c>
      <c r="F194" s="206"/>
      <c r="G194" s="206"/>
      <c r="H194" s="212">
        <f>H195</f>
        <v>943.2</v>
      </c>
      <c r="I194" s="209"/>
      <c r="J194" s="210">
        <f>J195</f>
        <v>943.2</v>
      </c>
      <c r="K194" s="210">
        <f>K195</f>
        <v>100</v>
      </c>
    </row>
    <row r="195" spans="1:11" ht="33.75" customHeight="1">
      <c r="A195" s="106" t="s">
        <v>48</v>
      </c>
      <c r="B195" s="206" t="s">
        <v>24</v>
      </c>
      <c r="C195" s="206">
        <v>966</v>
      </c>
      <c r="D195" s="211" t="s">
        <v>87</v>
      </c>
      <c r="E195" s="211" t="s">
        <v>182</v>
      </c>
      <c r="F195" s="206">
        <v>200</v>
      </c>
      <c r="G195" s="206"/>
      <c r="H195" s="212">
        <f>'НЕ УДАЛЯТЬ'!H194</f>
        <v>943.2</v>
      </c>
      <c r="I195" s="209"/>
      <c r="J195" s="210">
        <f>H195</f>
        <v>943.2</v>
      </c>
      <c r="K195" s="210">
        <v>100</v>
      </c>
    </row>
    <row r="196" spans="1:11" ht="33.75" hidden="1">
      <c r="A196" s="106"/>
      <c r="B196" s="206" t="s">
        <v>108</v>
      </c>
      <c r="C196" s="206">
        <v>966</v>
      </c>
      <c r="D196" s="211" t="s">
        <v>87</v>
      </c>
      <c r="E196" s="211" t="s">
        <v>182</v>
      </c>
      <c r="F196" s="206">
        <v>240</v>
      </c>
      <c r="G196" s="206"/>
      <c r="H196" s="212">
        <f>H197</f>
        <v>960</v>
      </c>
      <c r="I196" s="209"/>
      <c r="J196" s="209"/>
      <c r="K196" s="209"/>
    </row>
    <row r="197" spans="1:11" ht="33.75" hidden="1">
      <c r="A197" s="106"/>
      <c r="B197" s="206" t="s">
        <v>199</v>
      </c>
      <c r="C197" s="206">
        <v>966</v>
      </c>
      <c r="D197" s="211" t="s">
        <v>87</v>
      </c>
      <c r="E197" s="211" t="s">
        <v>182</v>
      </c>
      <c r="F197" s="206">
        <v>244</v>
      </c>
      <c r="G197" s="206"/>
      <c r="H197" s="212">
        <f>SUM(H198:H199)</f>
        <v>960</v>
      </c>
      <c r="I197" s="209"/>
      <c r="J197" s="209"/>
      <c r="K197" s="209"/>
    </row>
    <row r="198" spans="1:11" ht="12.75" hidden="1">
      <c r="A198" s="106"/>
      <c r="B198" s="206" t="s">
        <v>247</v>
      </c>
      <c r="C198" s="206">
        <v>966</v>
      </c>
      <c r="D198" s="211" t="s">
        <v>87</v>
      </c>
      <c r="E198" s="211" t="s">
        <v>182</v>
      </c>
      <c r="F198" s="206">
        <v>244</v>
      </c>
      <c r="G198" s="206">
        <v>224</v>
      </c>
      <c r="H198" s="212">
        <v>900</v>
      </c>
      <c r="I198" s="209"/>
      <c r="J198" s="209"/>
      <c r="K198" s="209"/>
    </row>
    <row r="199" spans="1:12" ht="12.75" hidden="1">
      <c r="A199" s="106"/>
      <c r="B199" s="206" t="s">
        <v>208</v>
      </c>
      <c r="C199" s="206">
        <v>966</v>
      </c>
      <c r="D199" s="211" t="s">
        <v>87</v>
      </c>
      <c r="E199" s="211" t="s">
        <v>182</v>
      </c>
      <c r="F199" s="206">
        <v>244</v>
      </c>
      <c r="G199" s="206">
        <v>226</v>
      </c>
      <c r="H199" s="212">
        <f>327.5-267.5</f>
        <v>60</v>
      </c>
      <c r="I199" s="209"/>
      <c r="J199" s="209"/>
      <c r="K199" s="209"/>
      <c r="L199">
        <v>-267.5</v>
      </c>
    </row>
    <row r="200" spans="1:11" ht="12.75">
      <c r="A200" s="106" t="s">
        <v>133</v>
      </c>
      <c r="B200" s="206" t="s">
        <v>49</v>
      </c>
      <c r="C200" s="206">
        <v>966</v>
      </c>
      <c r="D200" s="211" t="s">
        <v>88</v>
      </c>
      <c r="E200" s="211"/>
      <c r="F200" s="206"/>
      <c r="G200" s="206"/>
      <c r="H200" s="212">
        <f>H201</f>
        <v>32999.9</v>
      </c>
      <c r="I200" s="209"/>
      <c r="J200" s="210">
        <f>J201</f>
        <v>32826</v>
      </c>
      <c r="K200" s="210">
        <f>K201</f>
        <v>99.47302870614759</v>
      </c>
    </row>
    <row r="201" spans="1:11" ht="12.75">
      <c r="A201" s="106" t="s">
        <v>135</v>
      </c>
      <c r="B201" s="206" t="s">
        <v>50</v>
      </c>
      <c r="C201" s="206">
        <v>966</v>
      </c>
      <c r="D201" s="211" t="s">
        <v>89</v>
      </c>
      <c r="E201" s="211"/>
      <c r="F201" s="206"/>
      <c r="G201" s="206"/>
      <c r="H201" s="212">
        <f>H202+H208+H215+H221+H228+H234+H239+H244+H264</f>
        <v>32999.9</v>
      </c>
      <c r="I201" s="209"/>
      <c r="J201" s="210">
        <v>32826</v>
      </c>
      <c r="K201" s="210">
        <f>J201/H201*100</f>
        <v>99.47302870614759</v>
      </c>
    </row>
    <row r="202" spans="1:11" ht="64.5" customHeight="1">
      <c r="A202" s="106" t="s">
        <v>136</v>
      </c>
      <c r="B202" s="206" t="s">
        <v>128</v>
      </c>
      <c r="C202" s="206">
        <v>966</v>
      </c>
      <c r="D202" s="211" t="s">
        <v>89</v>
      </c>
      <c r="E202" s="211" t="s">
        <v>183</v>
      </c>
      <c r="F202" s="206"/>
      <c r="G202" s="206"/>
      <c r="H202" s="212">
        <f>H203</f>
        <v>323</v>
      </c>
      <c r="I202" s="209"/>
      <c r="J202" s="209">
        <f>J203</f>
        <v>322.9</v>
      </c>
      <c r="K202" s="210">
        <f>K203</f>
        <v>99.96904024767801</v>
      </c>
    </row>
    <row r="203" spans="1:11" ht="22.5">
      <c r="A203" s="106" t="s">
        <v>137</v>
      </c>
      <c r="B203" s="206" t="s">
        <v>24</v>
      </c>
      <c r="C203" s="206">
        <v>966</v>
      </c>
      <c r="D203" s="211" t="s">
        <v>89</v>
      </c>
      <c r="E203" s="211" t="s">
        <v>183</v>
      </c>
      <c r="F203" s="206">
        <v>200</v>
      </c>
      <c r="G203" s="206"/>
      <c r="H203" s="212">
        <f>'НЕ УДАЛЯТЬ'!H202</f>
        <v>323</v>
      </c>
      <c r="I203" s="209"/>
      <c r="J203" s="209">
        <v>322.9</v>
      </c>
      <c r="K203" s="210">
        <f>J203/H203*100</f>
        <v>99.96904024767801</v>
      </c>
    </row>
    <row r="204" spans="1:11" ht="21.75" customHeight="1" hidden="1">
      <c r="A204" s="106"/>
      <c r="B204" s="206" t="s">
        <v>108</v>
      </c>
      <c r="C204" s="206">
        <v>966</v>
      </c>
      <c r="D204" s="211" t="s">
        <v>89</v>
      </c>
      <c r="E204" s="211" t="s">
        <v>183</v>
      </c>
      <c r="F204" s="206">
        <v>240</v>
      </c>
      <c r="G204" s="206"/>
      <c r="H204" s="212">
        <f>H205</f>
        <v>8162.599999999999</v>
      </c>
      <c r="I204" s="209"/>
      <c r="J204" s="209"/>
      <c r="K204" s="209"/>
    </row>
    <row r="205" spans="1:11" ht="33.75" hidden="1">
      <c r="A205" s="106"/>
      <c r="B205" s="206" t="s">
        <v>199</v>
      </c>
      <c r="C205" s="206">
        <v>966</v>
      </c>
      <c r="D205" s="211" t="s">
        <v>89</v>
      </c>
      <c r="E205" s="211" t="s">
        <v>183</v>
      </c>
      <c r="F205" s="206">
        <v>244</v>
      </c>
      <c r="G205" s="219"/>
      <c r="H205" s="213">
        <f>H206+H207</f>
        <v>8162.599999999999</v>
      </c>
      <c r="I205" s="209"/>
      <c r="J205" s="209"/>
      <c r="K205" s="209"/>
    </row>
    <row r="206" spans="1:12" ht="12.75" hidden="1">
      <c r="A206" s="106"/>
      <c r="B206" s="206" t="s">
        <v>208</v>
      </c>
      <c r="C206" s="206">
        <v>966</v>
      </c>
      <c r="D206" s="211" t="s">
        <v>89</v>
      </c>
      <c r="E206" s="211" t="s">
        <v>183</v>
      </c>
      <c r="F206" s="206">
        <v>244</v>
      </c>
      <c r="G206" s="219">
        <v>226</v>
      </c>
      <c r="H206" s="213">
        <f>9793.9-626.1-100-137.9-500-367.3</f>
        <v>8062.599999999999</v>
      </c>
      <c r="I206" s="209" t="s">
        <v>251</v>
      </c>
      <c r="J206" s="209"/>
      <c r="K206" s="209"/>
      <c r="L206">
        <v>-367.3</v>
      </c>
    </row>
    <row r="207" spans="1:11" ht="12.75" hidden="1">
      <c r="A207" s="106"/>
      <c r="B207" s="206" t="s">
        <v>218</v>
      </c>
      <c r="C207" s="206">
        <v>966</v>
      </c>
      <c r="D207" s="211" t="s">
        <v>89</v>
      </c>
      <c r="E207" s="211" t="s">
        <v>183</v>
      </c>
      <c r="F207" s="206">
        <v>244</v>
      </c>
      <c r="G207" s="219">
        <v>310</v>
      </c>
      <c r="H207" s="213">
        <v>100</v>
      </c>
      <c r="I207" s="209"/>
      <c r="J207" s="209"/>
      <c r="K207" s="209"/>
    </row>
    <row r="208" spans="1:11" ht="50.25" customHeight="1">
      <c r="A208" s="106" t="s">
        <v>138</v>
      </c>
      <c r="B208" s="206" t="s">
        <v>129</v>
      </c>
      <c r="C208" s="206">
        <v>966</v>
      </c>
      <c r="D208" s="211" t="s">
        <v>89</v>
      </c>
      <c r="E208" s="211" t="s">
        <v>184</v>
      </c>
      <c r="F208" s="206"/>
      <c r="G208" s="206"/>
      <c r="H208" s="212">
        <f>H209</f>
        <v>1908.8999999999999</v>
      </c>
      <c r="I208" s="209"/>
      <c r="J208" s="209">
        <f>J209</f>
        <v>1908.9</v>
      </c>
      <c r="K208" s="210">
        <f>K209</f>
        <v>100</v>
      </c>
    </row>
    <row r="209" spans="1:11" ht="22.5">
      <c r="A209" s="106" t="s">
        <v>139</v>
      </c>
      <c r="B209" s="206" t="s">
        <v>24</v>
      </c>
      <c r="C209" s="206">
        <v>966</v>
      </c>
      <c r="D209" s="211" t="s">
        <v>89</v>
      </c>
      <c r="E209" s="211" t="s">
        <v>184</v>
      </c>
      <c r="F209" s="206">
        <v>200</v>
      </c>
      <c r="G209" s="206"/>
      <c r="H209" s="212">
        <f>'НЕ УДАЛЯТЬ'!H208</f>
        <v>1908.8999999999999</v>
      </c>
      <c r="I209" s="209"/>
      <c r="J209" s="209">
        <v>1908.9</v>
      </c>
      <c r="K209" s="210">
        <f>K215</f>
        <v>100</v>
      </c>
    </row>
    <row r="210" spans="1:11" ht="33.75" hidden="1">
      <c r="A210" s="106"/>
      <c r="B210" s="206" t="s">
        <v>108</v>
      </c>
      <c r="C210" s="206">
        <v>966</v>
      </c>
      <c r="D210" s="211" t="s">
        <v>89</v>
      </c>
      <c r="E210" s="211" t="s">
        <v>184</v>
      </c>
      <c r="F210" s="206">
        <v>240</v>
      </c>
      <c r="G210" s="206"/>
      <c r="H210" s="212">
        <f>H211</f>
        <v>2051.0000000000014</v>
      </c>
      <c r="I210" s="209"/>
      <c r="J210" s="209"/>
      <c r="K210" s="209"/>
    </row>
    <row r="211" spans="1:11" ht="33.75" hidden="1">
      <c r="A211" s="106"/>
      <c r="B211" s="206" t="s">
        <v>199</v>
      </c>
      <c r="C211" s="206">
        <v>966</v>
      </c>
      <c r="D211" s="211" t="s">
        <v>89</v>
      </c>
      <c r="E211" s="211" t="s">
        <v>184</v>
      </c>
      <c r="F211" s="206">
        <v>244</v>
      </c>
      <c r="G211" s="206"/>
      <c r="H211" s="212">
        <f>H212+H213+H214</f>
        <v>2051.0000000000014</v>
      </c>
      <c r="I211" s="209"/>
      <c r="J211" s="209"/>
      <c r="K211" s="209"/>
    </row>
    <row r="212" spans="1:12" ht="12.75" hidden="1">
      <c r="A212" s="106"/>
      <c r="B212" s="206" t="s">
        <v>208</v>
      </c>
      <c r="C212" s="206">
        <v>966</v>
      </c>
      <c r="D212" s="211" t="s">
        <v>89</v>
      </c>
      <c r="E212" s="211" t="s">
        <v>184</v>
      </c>
      <c r="F212" s="206">
        <v>244</v>
      </c>
      <c r="G212" s="206">
        <v>226</v>
      </c>
      <c r="H212" s="212">
        <f>7466.8-980-635.4-1601.6-85.2-600-500-1698.8</f>
        <v>1365.8000000000013</v>
      </c>
      <c r="I212" s="209" t="s">
        <v>251</v>
      </c>
      <c r="J212" s="209"/>
      <c r="K212" s="209"/>
      <c r="L212">
        <v>-1698.8</v>
      </c>
    </row>
    <row r="213" spans="1:11" ht="12.75" hidden="1">
      <c r="A213" s="106"/>
      <c r="B213" s="206" t="s">
        <v>203</v>
      </c>
      <c r="C213" s="206">
        <v>966</v>
      </c>
      <c r="D213" s="211" t="s">
        <v>89</v>
      </c>
      <c r="E213" s="211" t="s">
        <v>184</v>
      </c>
      <c r="F213" s="206">
        <v>244</v>
      </c>
      <c r="G213" s="206">
        <v>290</v>
      </c>
      <c r="H213" s="212">
        <v>85.2</v>
      </c>
      <c r="I213" s="209"/>
      <c r="J213" s="209"/>
      <c r="K213" s="209"/>
    </row>
    <row r="214" spans="1:11" ht="22.5" hidden="1">
      <c r="A214" s="106"/>
      <c r="B214" s="206" t="s">
        <v>217</v>
      </c>
      <c r="C214" s="206">
        <v>966</v>
      </c>
      <c r="D214" s="211" t="s">
        <v>89</v>
      </c>
      <c r="E214" s="211" t="s">
        <v>184</v>
      </c>
      <c r="F214" s="206">
        <v>244</v>
      </c>
      <c r="G214" s="206">
        <v>340</v>
      </c>
      <c r="H214" s="212">
        <v>600</v>
      </c>
      <c r="I214" s="209"/>
      <c r="J214" s="209"/>
      <c r="K214" s="209"/>
    </row>
    <row r="215" spans="1:11" ht="63" customHeight="1">
      <c r="A215" s="106" t="s">
        <v>140</v>
      </c>
      <c r="B215" s="206" t="s">
        <v>130</v>
      </c>
      <c r="C215" s="206">
        <v>966</v>
      </c>
      <c r="D215" s="211" t="s">
        <v>89</v>
      </c>
      <c r="E215" s="211" t="s">
        <v>185</v>
      </c>
      <c r="F215" s="206"/>
      <c r="G215" s="206"/>
      <c r="H215" s="212">
        <f>H216</f>
        <v>8627.7</v>
      </c>
      <c r="I215" s="209"/>
      <c r="J215" s="210">
        <f>J216</f>
        <v>8627.7</v>
      </c>
      <c r="K215" s="210">
        <f>K216</f>
        <v>100</v>
      </c>
    </row>
    <row r="216" spans="1:11" ht="22.5">
      <c r="A216" s="106" t="s">
        <v>141</v>
      </c>
      <c r="B216" s="206" t="s">
        <v>24</v>
      </c>
      <c r="C216" s="206">
        <v>966</v>
      </c>
      <c r="D216" s="211" t="s">
        <v>89</v>
      </c>
      <c r="E216" s="211" t="s">
        <v>185</v>
      </c>
      <c r="F216" s="206">
        <v>200</v>
      </c>
      <c r="G216" s="206"/>
      <c r="H216" s="212">
        <f>'НЕ УДАЛЯТЬ'!H215</f>
        <v>8627.7</v>
      </c>
      <c r="I216" s="209"/>
      <c r="J216" s="210">
        <f>J217</f>
        <v>8627.7</v>
      </c>
      <c r="K216" s="210">
        <v>100</v>
      </c>
    </row>
    <row r="217" spans="1:11" ht="33.75" hidden="1">
      <c r="A217" s="106"/>
      <c r="B217" s="206" t="s">
        <v>108</v>
      </c>
      <c r="C217" s="206">
        <v>966</v>
      </c>
      <c r="D217" s="211" t="s">
        <v>89</v>
      </c>
      <c r="E217" s="211" t="s">
        <v>185</v>
      </c>
      <c r="F217" s="206">
        <v>240</v>
      </c>
      <c r="G217" s="206"/>
      <c r="H217" s="212">
        <v>8627.7</v>
      </c>
      <c r="I217" s="209"/>
      <c r="J217" s="210">
        <f>H217</f>
        <v>8627.7</v>
      </c>
      <c r="K217" s="209"/>
    </row>
    <row r="218" spans="1:11" ht="33.75" hidden="1">
      <c r="A218" s="106"/>
      <c r="B218" s="206" t="s">
        <v>199</v>
      </c>
      <c r="C218" s="206">
        <v>966</v>
      </c>
      <c r="D218" s="211" t="s">
        <v>89</v>
      </c>
      <c r="E218" s="211" t="s">
        <v>185</v>
      </c>
      <c r="F218" s="206">
        <v>244</v>
      </c>
      <c r="G218" s="206"/>
      <c r="H218" s="212">
        <f>H219+H220</f>
        <v>8117.5</v>
      </c>
      <c r="I218" s="209"/>
      <c r="J218" s="209"/>
      <c r="K218" s="209"/>
    </row>
    <row r="219" spans="1:12" ht="12.75" hidden="1">
      <c r="A219" s="106"/>
      <c r="B219" s="206" t="s">
        <v>208</v>
      </c>
      <c r="C219" s="206">
        <v>966</v>
      </c>
      <c r="D219" s="211" t="s">
        <v>89</v>
      </c>
      <c r="E219" s="211" t="s">
        <v>185</v>
      </c>
      <c r="F219" s="206">
        <v>244</v>
      </c>
      <c r="G219" s="206">
        <v>226</v>
      </c>
      <c r="H219" s="212">
        <f>22603.4-4561.2-2157.6-3758.6-700-1729+2420-135.4-131.5-3999.5-86.5</f>
        <v>7764.1</v>
      </c>
      <c r="I219" s="209" t="s">
        <v>251</v>
      </c>
      <c r="J219" s="209"/>
      <c r="K219" s="209"/>
      <c r="L219">
        <f>-3999.5-86.5</f>
        <v>-4086</v>
      </c>
    </row>
    <row r="220" spans="1:12" ht="12.75" hidden="1">
      <c r="A220" s="106"/>
      <c r="B220" s="206" t="s">
        <v>218</v>
      </c>
      <c r="C220" s="206">
        <v>966</v>
      </c>
      <c r="D220" s="211" t="s">
        <v>89</v>
      </c>
      <c r="E220" s="211" t="s">
        <v>185</v>
      </c>
      <c r="F220" s="206">
        <v>244</v>
      </c>
      <c r="G220" s="206">
        <v>310</v>
      </c>
      <c r="H220" s="212">
        <f>135.4+131.5+86.5</f>
        <v>353.4</v>
      </c>
      <c r="I220" s="209"/>
      <c r="J220" s="209"/>
      <c r="K220" s="209"/>
      <c r="L220">
        <v>86.5</v>
      </c>
    </row>
    <row r="221" spans="1:11" ht="54.75" customHeight="1">
      <c r="A221" s="106" t="s">
        <v>142</v>
      </c>
      <c r="B221" s="206" t="s">
        <v>244</v>
      </c>
      <c r="C221" s="206">
        <v>966</v>
      </c>
      <c r="D221" s="211" t="s">
        <v>89</v>
      </c>
      <c r="E221" s="211" t="s">
        <v>232</v>
      </c>
      <c r="F221" s="206"/>
      <c r="G221" s="206"/>
      <c r="H221" s="212">
        <f>H222</f>
        <v>10000</v>
      </c>
      <c r="I221" s="209"/>
      <c r="J221" s="209">
        <f>J222</f>
        <v>9826.7</v>
      </c>
      <c r="K221" s="210">
        <f>K222</f>
        <v>98.26700000000001</v>
      </c>
    </row>
    <row r="222" spans="1:11" ht="22.5">
      <c r="A222" s="106" t="s">
        <v>143</v>
      </c>
      <c r="B222" s="206" t="s">
        <v>24</v>
      </c>
      <c r="C222" s="206">
        <v>966</v>
      </c>
      <c r="D222" s="211" t="s">
        <v>89</v>
      </c>
      <c r="E222" s="211" t="s">
        <v>232</v>
      </c>
      <c r="F222" s="206">
        <v>200</v>
      </c>
      <c r="G222" s="206"/>
      <c r="H222" s="212">
        <f>'НЕ УДАЛЯТЬ'!H222</f>
        <v>10000</v>
      </c>
      <c r="I222" s="209"/>
      <c r="J222" s="209">
        <v>9826.7</v>
      </c>
      <c r="K222" s="210">
        <f>J222/H222*100</f>
        <v>98.26700000000001</v>
      </c>
    </row>
    <row r="223" spans="1:11" ht="33.75" hidden="1">
      <c r="A223" s="106"/>
      <c r="B223" s="206" t="s">
        <v>108</v>
      </c>
      <c r="C223" s="206">
        <v>966</v>
      </c>
      <c r="D223" s="211" t="s">
        <v>89</v>
      </c>
      <c r="E223" s="211" t="s">
        <v>232</v>
      </c>
      <c r="F223" s="206">
        <v>240</v>
      </c>
      <c r="G223" s="206"/>
      <c r="H223" s="212">
        <f>H224</f>
        <v>10000</v>
      </c>
      <c r="I223" s="209"/>
      <c r="J223" s="209"/>
      <c r="K223" s="209"/>
    </row>
    <row r="224" spans="1:11" ht="33.75" hidden="1">
      <c r="A224" s="106"/>
      <c r="B224" s="206" t="s">
        <v>199</v>
      </c>
      <c r="C224" s="206">
        <v>966</v>
      </c>
      <c r="D224" s="211" t="s">
        <v>89</v>
      </c>
      <c r="E224" s="211" t="s">
        <v>232</v>
      </c>
      <c r="F224" s="206">
        <v>244</v>
      </c>
      <c r="G224" s="206"/>
      <c r="H224" s="212">
        <f>H225+H226+H227</f>
        <v>10000</v>
      </c>
      <c r="I224" s="209"/>
      <c r="J224" s="209"/>
      <c r="K224" s="209"/>
    </row>
    <row r="225" spans="1:13" ht="12.75" hidden="1">
      <c r="A225" s="106"/>
      <c r="B225" s="206" t="s">
        <v>208</v>
      </c>
      <c r="C225" s="206">
        <v>966</v>
      </c>
      <c r="D225" s="211" t="s">
        <v>89</v>
      </c>
      <c r="E225" s="211" t="s">
        <v>232</v>
      </c>
      <c r="F225" s="206">
        <v>244</v>
      </c>
      <c r="G225" s="206">
        <v>226</v>
      </c>
      <c r="H225" s="212">
        <f>10125.3-125.3-1503.1-1618.5-431</f>
        <v>6447.4</v>
      </c>
      <c r="I225" s="209"/>
      <c r="J225" s="209"/>
      <c r="K225" s="209"/>
      <c r="L225">
        <f>-1618.5-431</f>
        <v>-2049.5</v>
      </c>
      <c r="M225" s="168"/>
    </row>
    <row r="226" spans="1:12" ht="12.75" hidden="1">
      <c r="A226" s="106"/>
      <c r="B226" s="206" t="s">
        <v>218</v>
      </c>
      <c r="C226" s="206">
        <v>966</v>
      </c>
      <c r="D226" s="211" t="s">
        <v>89</v>
      </c>
      <c r="E226" s="211" t="s">
        <v>232</v>
      </c>
      <c r="F226" s="206">
        <v>244</v>
      </c>
      <c r="G226" s="206">
        <v>310</v>
      </c>
      <c r="H226" s="212">
        <f>915.9+1618.5</f>
        <v>2534.4</v>
      </c>
      <c r="I226" s="209"/>
      <c r="J226" s="209"/>
      <c r="K226" s="209"/>
      <c r="L226">
        <v>1618.5</v>
      </c>
    </row>
    <row r="227" spans="1:12" ht="22.5" hidden="1">
      <c r="A227" s="106"/>
      <c r="B227" s="206" t="s">
        <v>217</v>
      </c>
      <c r="C227" s="206">
        <v>966</v>
      </c>
      <c r="D227" s="211" t="s">
        <v>89</v>
      </c>
      <c r="E227" s="211" t="s">
        <v>232</v>
      </c>
      <c r="F227" s="206">
        <v>244</v>
      </c>
      <c r="G227" s="206">
        <v>340</v>
      </c>
      <c r="H227" s="212">
        <f>587.2+431</f>
        <v>1018.2</v>
      </c>
      <c r="I227" s="209"/>
      <c r="J227" s="209"/>
      <c r="K227" s="209"/>
      <c r="L227">
        <v>431</v>
      </c>
    </row>
    <row r="228" spans="1:11" ht="54" customHeight="1">
      <c r="A228" s="106" t="s">
        <v>144</v>
      </c>
      <c r="B228" s="206" t="s">
        <v>193</v>
      </c>
      <c r="C228" s="206">
        <v>966</v>
      </c>
      <c r="D228" s="211" t="s">
        <v>89</v>
      </c>
      <c r="E228" s="211" t="s">
        <v>233</v>
      </c>
      <c r="F228" s="206"/>
      <c r="G228" s="206"/>
      <c r="H228" s="212">
        <f>H229</f>
        <v>5622.300000000001</v>
      </c>
      <c r="I228" s="209"/>
      <c r="J228" s="209">
        <f>J229</f>
        <v>5622.2</v>
      </c>
      <c r="K228" s="210">
        <f>K229</f>
        <v>99.99822136847907</v>
      </c>
    </row>
    <row r="229" spans="1:11" ht="22.5">
      <c r="A229" s="106" t="s">
        <v>145</v>
      </c>
      <c r="B229" s="206" t="s">
        <v>24</v>
      </c>
      <c r="C229" s="206">
        <v>966</v>
      </c>
      <c r="D229" s="211" t="s">
        <v>89</v>
      </c>
      <c r="E229" s="211" t="s">
        <v>233</v>
      </c>
      <c r="F229" s="206">
        <v>200</v>
      </c>
      <c r="G229" s="206"/>
      <c r="H229" s="212">
        <f>'НЕ УДАЛЯТЬ'!H229</f>
        <v>5622.300000000001</v>
      </c>
      <c r="I229" s="209"/>
      <c r="J229" s="209">
        <v>5622.2</v>
      </c>
      <c r="K229" s="210">
        <f>J229/H229*100</f>
        <v>99.99822136847907</v>
      </c>
    </row>
    <row r="230" spans="1:11" ht="33.75" hidden="1">
      <c r="A230" s="106"/>
      <c r="B230" s="206" t="s">
        <v>108</v>
      </c>
      <c r="C230" s="206">
        <v>966</v>
      </c>
      <c r="D230" s="211" t="s">
        <v>89</v>
      </c>
      <c r="E230" s="211" t="s">
        <v>233</v>
      </c>
      <c r="F230" s="206">
        <v>240</v>
      </c>
      <c r="G230" s="206"/>
      <c r="H230" s="212">
        <f>H231</f>
        <v>5622.300000000001</v>
      </c>
      <c r="I230" s="209"/>
      <c r="J230" s="209"/>
      <c r="K230" s="209"/>
    </row>
    <row r="231" spans="1:11" ht="33.75" hidden="1">
      <c r="A231" s="106"/>
      <c r="B231" s="206" t="s">
        <v>199</v>
      </c>
      <c r="C231" s="206">
        <v>966</v>
      </c>
      <c r="D231" s="211" t="s">
        <v>89</v>
      </c>
      <c r="E231" s="211" t="s">
        <v>233</v>
      </c>
      <c r="F231" s="206">
        <v>244</v>
      </c>
      <c r="G231" s="206"/>
      <c r="H231" s="212">
        <f>H232+H233</f>
        <v>5622.300000000001</v>
      </c>
      <c r="I231" s="209"/>
      <c r="J231" s="209"/>
      <c r="K231" s="209"/>
    </row>
    <row r="232" spans="1:11" ht="12.75" hidden="1">
      <c r="A232" s="106"/>
      <c r="B232" s="206" t="s">
        <v>208</v>
      </c>
      <c r="C232" s="206">
        <v>966</v>
      </c>
      <c r="D232" s="211" t="s">
        <v>89</v>
      </c>
      <c r="E232" s="211" t="s">
        <v>233</v>
      </c>
      <c r="F232" s="206">
        <v>244</v>
      </c>
      <c r="G232" s="206">
        <v>226</v>
      </c>
      <c r="H232" s="212">
        <f>1125.1+5014.1-2190-516.9</f>
        <v>3432.3000000000006</v>
      </c>
      <c r="I232" s="209"/>
      <c r="J232" s="209"/>
      <c r="K232" s="209"/>
    </row>
    <row r="233" spans="1:11" ht="12.75" hidden="1">
      <c r="A233" s="106"/>
      <c r="B233" s="206" t="s">
        <v>218</v>
      </c>
      <c r="C233" s="206">
        <v>966</v>
      </c>
      <c r="D233" s="211" t="s">
        <v>89</v>
      </c>
      <c r="E233" s="211" t="s">
        <v>233</v>
      </c>
      <c r="F233" s="206">
        <v>244</v>
      </c>
      <c r="G233" s="206">
        <v>310</v>
      </c>
      <c r="H233" s="212">
        <v>2190</v>
      </c>
      <c r="I233" s="209"/>
      <c r="J233" s="209"/>
      <c r="K233" s="209"/>
    </row>
    <row r="234" spans="1:11" ht="70.5" customHeight="1">
      <c r="A234" s="106" t="s">
        <v>146</v>
      </c>
      <c r="B234" s="206" t="s">
        <v>243</v>
      </c>
      <c r="C234" s="206">
        <v>966</v>
      </c>
      <c r="D234" s="211" t="s">
        <v>89</v>
      </c>
      <c r="E234" s="211" t="s">
        <v>186</v>
      </c>
      <c r="F234" s="206"/>
      <c r="G234" s="206"/>
      <c r="H234" s="212">
        <f>H238</f>
        <v>2680.3</v>
      </c>
      <c r="I234" s="209"/>
      <c r="J234" s="210">
        <f>J235</f>
        <v>2680.3</v>
      </c>
      <c r="K234" s="210">
        <f>K235</f>
        <v>100</v>
      </c>
    </row>
    <row r="235" spans="1:11" ht="30.75" customHeight="1">
      <c r="A235" s="106" t="s">
        <v>147</v>
      </c>
      <c r="B235" s="206" t="s">
        <v>24</v>
      </c>
      <c r="C235" s="206">
        <v>966</v>
      </c>
      <c r="D235" s="211" t="s">
        <v>89</v>
      </c>
      <c r="E235" s="211" t="s">
        <v>186</v>
      </c>
      <c r="F235" s="206">
        <v>200</v>
      </c>
      <c r="G235" s="206"/>
      <c r="H235" s="212">
        <f>'НЕ УДАЛЯТЬ'!H235</f>
        <v>2680.3</v>
      </c>
      <c r="I235" s="209"/>
      <c r="J235" s="210">
        <f>J236</f>
        <v>2680.3</v>
      </c>
      <c r="K235" s="210">
        <f>K236</f>
        <v>100</v>
      </c>
    </row>
    <row r="236" spans="1:11" ht="33.75" hidden="1">
      <c r="A236" s="106"/>
      <c r="B236" s="206" t="s">
        <v>108</v>
      </c>
      <c r="C236" s="206">
        <v>966</v>
      </c>
      <c r="D236" s="211" t="s">
        <v>89</v>
      </c>
      <c r="E236" s="211" t="s">
        <v>186</v>
      </c>
      <c r="F236" s="206">
        <v>240</v>
      </c>
      <c r="G236" s="206"/>
      <c r="H236" s="212">
        <f>H237</f>
        <v>2680.3</v>
      </c>
      <c r="I236" s="209"/>
      <c r="J236" s="210">
        <f>H236</f>
        <v>2680.3</v>
      </c>
      <c r="K236" s="210">
        <v>100</v>
      </c>
    </row>
    <row r="237" spans="1:11" ht="33.75" hidden="1">
      <c r="A237" s="106"/>
      <c r="B237" s="206" t="s">
        <v>199</v>
      </c>
      <c r="C237" s="206">
        <v>966</v>
      </c>
      <c r="D237" s="211" t="s">
        <v>89</v>
      </c>
      <c r="E237" s="211" t="s">
        <v>186</v>
      </c>
      <c r="F237" s="206">
        <v>244</v>
      </c>
      <c r="G237" s="206"/>
      <c r="H237" s="212">
        <f>H238</f>
        <v>2680.3</v>
      </c>
      <c r="I237" s="209"/>
      <c r="J237" s="209"/>
      <c r="K237" s="209"/>
    </row>
    <row r="238" spans="1:11" ht="12.75" hidden="1">
      <c r="A238" s="106"/>
      <c r="B238" s="206" t="s">
        <v>208</v>
      </c>
      <c r="C238" s="206">
        <v>966</v>
      </c>
      <c r="D238" s="211" t="s">
        <v>89</v>
      </c>
      <c r="E238" s="211" t="s">
        <v>186</v>
      </c>
      <c r="F238" s="206">
        <v>244</v>
      </c>
      <c r="G238" s="206">
        <v>226</v>
      </c>
      <c r="H238" s="212">
        <f>5110.3-3030+650-50</f>
        <v>2680.3</v>
      </c>
      <c r="I238" s="209"/>
      <c r="J238" s="209"/>
      <c r="K238" s="209"/>
    </row>
    <row r="239" spans="1:11" ht="0.75" customHeight="1" hidden="1">
      <c r="A239" s="106" t="s">
        <v>194</v>
      </c>
      <c r="B239" s="206" t="s">
        <v>164</v>
      </c>
      <c r="C239" s="206">
        <v>966</v>
      </c>
      <c r="D239" s="211" t="s">
        <v>89</v>
      </c>
      <c r="E239" s="211" t="s">
        <v>196</v>
      </c>
      <c r="F239" s="206"/>
      <c r="G239" s="206"/>
      <c r="H239" s="212">
        <f>H242</f>
        <v>0</v>
      </c>
      <c r="I239" s="209"/>
      <c r="J239" s="209"/>
      <c r="K239" s="209"/>
    </row>
    <row r="240" spans="1:11" ht="22.5" hidden="1">
      <c r="A240" s="106" t="s">
        <v>195</v>
      </c>
      <c r="B240" s="206" t="s">
        <v>24</v>
      </c>
      <c r="C240" s="206">
        <v>966</v>
      </c>
      <c r="D240" s="211" t="s">
        <v>89</v>
      </c>
      <c r="E240" s="211" t="s">
        <v>196</v>
      </c>
      <c r="F240" s="206">
        <v>200</v>
      </c>
      <c r="G240" s="206"/>
      <c r="H240" s="212">
        <f>H242</f>
        <v>0</v>
      </c>
      <c r="I240" s="209"/>
      <c r="J240" s="209"/>
      <c r="K240" s="209"/>
    </row>
    <row r="241" spans="1:11" ht="33.75" hidden="1">
      <c r="A241" s="106"/>
      <c r="B241" s="206" t="s">
        <v>108</v>
      </c>
      <c r="C241" s="206">
        <v>966</v>
      </c>
      <c r="D241" s="211" t="s">
        <v>89</v>
      </c>
      <c r="E241" s="211" t="s">
        <v>196</v>
      </c>
      <c r="F241" s="206">
        <v>240</v>
      </c>
      <c r="G241" s="206"/>
      <c r="H241" s="212">
        <f>H242</f>
        <v>0</v>
      </c>
      <c r="I241" s="209"/>
      <c r="J241" s="209"/>
      <c r="K241" s="209"/>
    </row>
    <row r="242" spans="1:11" ht="33.75" hidden="1">
      <c r="A242" s="106"/>
      <c r="B242" s="206" t="s">
        <v>199</v>
      </c>
      <c r="C242" s="206">
        <v>966</v>
      </c>
      <c r="D242" s="211" t="s">
        <v>89</v>
      </c>
      <c r="E242" s="211" t="s">
        <v>196</v>
      </c>
      <c r="F242" s="206">
        <v>244</v>
      </c>
      <c r="G242" s="206"/>
      <c r="H242" s="212">
        <f>H243</f>
        <v>0</v>
      </c>
      <c r="I242" s="209"/>
      <c r="J242" s="209"/>
      <c r="K242" s="209"/>
    </row>
    <row r="243" spans="1:12" ht="12.75" hidden="1">
      <c r="A243" s="106"/>
      <c r="B243" s="206" t="s">
        <v>218</v>
      </c>
      <c r="C243" s="206">
        <v>966</v>
      </c>
      <c r="D243" s="211" t="s">
        <v>89</v>
      </c>
      <c r="E243" s="211" t="s">
        <v>196</v>
      </c>
      <c r="F243" s="206">
        <v>244</v>
      </c>
      <c r="G243" s="206">
        <v>310</v>
      </c>
      <c r="H243" s="212">
        <f>983.7-200-783.7</f>
        <v>0</v>
      </c>
      <c r="I243" s="209"/>
      <c r="J243" s="209"/>
      <c r="K243" s="209"/>
      <c r="L243">
        <v>-783.7</v>
      </c>
    </row>
    <row r="244" spans="1:11" ht="47.25" customHeight="1">
      <c r="A244" s="106" t="s">
        <v>424</v>
      </c>
      <c r="B244" s="206" t="s">
        <v>259</v>
      </c>
      <c r="C244" s="206">
        <v>966</v>
      </c>
      <c r="D244" s="211" t="s">
        <v>89</v>
      </c>
      <c r="E244" s="211" t="s">
        <v>253</v>
      </c>
      <c r="F244" s="206"/>
      <c r="G244" s="206"/>
      <c r="H244" s="212">
        <f>H245+H256</f>
        <v>3506.8999999999996</v>
      </c>
      <c r="I244" s="209"/>
      <c r="J244" s="209">
        <f>J245+J256</f>
        <v>3506.7</v>
      </c>
      <c r="K244" s="210">
        <f>J244/H244*100</f>
        <v>99.99429695742678</v>
      </c>
    </row>
    <row r="245" spans="1:11" ht="75.75" customHeight="1">
      <c r="A245" s="106" t="s">
        <v>425</v>
      </c>
      <c r="B245" s="206" t="s">
        <v>105</v>
      </c>
      <c r="C245" s="206">
        <v>966</v>
      </c>
      <c r="D245" s="211" t="s">
        <v>89</v>
      </c>
      <c r="E245" s="211" t="s">
        <v>253</v>
      </c>
      <c r="F245" s="206">
        <v>100</v>
      </c>
      <c r="G245" s="206"/>
      <c r="H245" s="212">
        <f>'НЕ УДАЛЯТЬ'!H245</f>
        <v>3362.0999999999995</v>
      </c>
      <c r="I245" s="209"/>
      <c r="J245" s="209">
        <v>3362</v>
      </c>
      <c r="K245" s="210">
        <f>J245/H245*100</f>
        <v>99.99702566848102</v>
      </c>
    </row>
    <row r="246" spans="1:11" ht="33.75" hidden="1">
      <c r="A246" s="106"/>
      <c r="B246" s="206" t="s">
        <v>257</v>
      </c>
      <c r="C246" s="206">
        <v>966</v>
      </c>
      <c r="D246" s="211" t="s">
        <v>89</v>
      </c>
      <c r="E246" s="211" t="s">
        <v>253</v>
      </c>
      <c r="F246" s="206">
        <v>110</v>
      </c>
      <c r="G246" s="206"/>
      <c r="H246" s="212">
        <f>H247+H249+H251</f>
        <v>3230.2</v>
      </c>
      <c r="I246" s="209"/>
      <c r="J246" s="209"/>
      <c r="K246" s="209"/>
    </row>
    <row r="247" spans="1:11" ht="22.5" hidden="1">
      <c r="A247" s="106"/>
      <c r="B247" s="206" t="s">
        <v>254</v>
      </c>
      <c r="C247" s="206">
        <v>966</v>
      </c>
      <c r="D247" s="211" t="s">
        <v>89</v>
      </c>
      <c r="E247" s="211" t="s">
        <v>253</v>
      </c>
      <c r="F247" s="206">
        <v>111</v>
      </c>
      <c r="G247" s="206"/>
      <c r="H247" s="212">
        <f>H248</f>
        <v>2598.2</v>
      </c>
      <c r="I247" s="209"/>
      <c r="J247" s="209"/>
      <c r="K247" s="209"/>
    </row>
    <row r="248" spans="1:12" ht="12.75" hidden="1">
      <c r="A248" s="106"/>
      <c r="B248" s="206" t="s">
        <v>206</v>
      </c>
      <c r="C248" s="206">
        <v>966</v>
      </c>
      <c r="D248" s="211" t="s">
        <v>89</v>
      </c>
      <c r="E248" s="211" t="s">
        <v>253</v>
      </c>
      <c r="F248" s="206">
        <v>111</v>
      </c>
      <c r="G248" s="206">
        <v>211</v>
      </c>
      <c r="H248" s="212">
        <f>1786.5+811.7</f>
        <v>2598.2</v>
      </c>
      <c r="I248" s="209"/>
      <c r="J248" s="209"/>
      <c r="K248" s="209"/>
      <c r="L248">
        <v>811.7</v>
      </c>
    </row>
    <row r="249" spans="1:11" ht="33.75" hidden="1">
      <c r="A249" s="106"/>
      <c r="B249" s="211" t="s">
        <v>416</v>
      </c>
      <c r="C249" s="206">
        <v>966</v>
      </c>
      <c r="D249" s="211" t="s">
        <v>89</v>
      </c>
      <c r="E249" s="211" t="s">
        <v>253</v>
      </c>
      <c r="F249" s="206">
        <v>112</v>
      </c>
      <c r="G249" s="206"/>
      <c r="H249" s="212">
        <f>H250</f>
        <v>1.6</v>
      </c>
      <c r="I249" s="209"/>
      <c r="J249" s="209"/>
      <c r="K249" s="209"/>
    </row>
    <row r="250" spans="1:12" ht="12.75" hidden="1">
      <c r="A250" s="106"/>
      <c r="B250" s="211" t="s">
        <v>216</v>
      </c>
      <c r="C250" s="206">
        <v>966</v>
      </c>
      <c r="D250" s="211" t="s">
        <v>89</v>
      </c>
      <c r="E250" s="211" t="s">
        <v>253</v>
      </c>
      <c r="F250" s="206">
        <v>112</v>
      </c>
      <c r="G250" s="206">
        <v>222</v>
      </c>
      <c r="H250" s="212">
        <v>1.6</v>
      </c>
      <c r="I250" s="209"/>
      <c r="J250" s="209"/>
      <c r="K250" s="209"/>
      <c r="L250">
        <v>1.6</v>
      </c>
    </row>
    <row r="251" spans="1:11" ht="56.25" hidden="1">
      <c r="A251" s="106"/>
      <c r="B251" s="206" t="s">
        <v>258</v>
      </c>
      <c r="C251" s="206">
        <v>966</v>
      </c>
      <c r="D251" s="211" t="s">
        <v>89</v>
      </c>
      <c r="E251" s="211" t="s">
        <v>253</v>
      </c>
      <c r="F251" s="206">
        <v>119</v>
      </c>
      <c r="G251" s="206"/>
      <c r="H251" s="212">
        <f>H252</f>
        <v>630.4</v>
      </c>
      <c r="I251" s="209"/>
      <c r="J251" s="209"/>
      <c r="K251" s="209"/>
    </row>
    <row r="252" spans="1:12" ht="12.75" hidden="1">
      <c r="A252" s="106"/>
      <c r="B252" s="206" t="s">
        <v>207</v>
      </c>
      <c r="C252" s="206">
        <v>966</v>
      </c>
      <c r="D252" s="211" t="s">
        <v>89</v>
      </c>
      <c r="E252" s="211" t="s">
        <v>253</v>
      </c>
      <c r="F252" s="206">
        <v>119</v>
      </c>
      <c r="G252" s="206">
        <v>213</v>
      </c>
      <c r="H252" s="212">
        <f>535.9+94.5</f>
        <v>630.4</v>
      </c>
      <c r="I252" s="209"/>
      <c r="J252" s="209"/>
      <c r="K252" s="209"/>
      <c r="L252">
        <v>94.5</v>
      </c>
    </row>
    <row r="253" spans="1:11" ht="22.5" hidden="1">
      <c r="A253" s="106"/>
      <c r="B253" s="211" t="s">
        <v>6</v>
      </c>
      <c r="C253" s="206">
        <v>966</v>
      </c>
      <c r="D253" s="211" t="s">
        <v>89</v>
      </c>
      <c r="E253" s="211" t="s">
        <v>253</v>
      </c>
      <c r="F253" s="206">
        <v>120</v>
      </c>
      <c r="G253" s="206"/>
      <c r="H253" s="212">
        <f>H254</f>
        <v>0</v>
      </c>
      <c r="I253" s="209"/>
      <c r="J253" s="209"/>
      <c r="K253" s="209"/>
    </row>
    <row r="254" spans="1:11" ht="45" hidden="1">
      <c r="A254" s="106"/>
      <c r="B254" s="211" t="s">
        <v>250</v>
      </c>
      <c r="C254" s="206">
        <v>966</v>
      </c>
      <c r="D254" s="211" t="s">
        <v>89</v>
      </c>
      <c r="E254" s="211" t="s">
        <v>253</v>
      </c>
      <c r="F254" s="206">
        <v>122</v>
      </c>
      <c r="G254" s="206"/>
      <c r="H254" s="212">
        <f>H255</f>
        <v>0</v>
      </c>
      <c r="I254" s="209"/>
      <c r="J254" s="209"/>
      <c r="K254" s="209"/>
    </row>
    <row r="255" spans="1:12" ht="12.75" hidden="1">
      <c r="A255" s="106"/>
      <c r="B255" s="211" t="s">
        <v>216</v>
      </c>
      <c r="C255" s="206">
        <v>966</v>
      </c>
      <c r="D255" s="211" t="s">
        <v>89</v>
      </c>
      <c r="E255" s="211" t="s">
        <v>253</v>
      </c>
      <c r="F255" s="206">
        <v>122</v>
      </c>
      <c r="G255" s="206">
        <v>222</v>
      </c>
      <c r="H255" s="212">
        <v>0</v>
      </c>
      <c r="I255" s="209"/>
      <c r="J255" s="209"/>
      <c r="K255" s="209"/>
      <c r="L255">
        <v>-1.6</v>
      </c>
    </row>
    <row r="256" spans="1:11" ht="22.5">
      <c r="A256" s="106" t="s">
        <v>426</v>
      </c>
      <c r="B256" s="206" t="s">
        <v>24</v>
      </c>
      <c r="C256" s="206">
        <v>966</v>
      </c>
      <c r="D256" s="211" t="s">
        <v>89</v>
      </c>
      <c r="E256" s="211" t="s">
        <v>253</v>
      </c>
      <c r="F256" s="206">
        <v>200</v>
      </c>
      <c r="G256" s="206"/>
      <c r="H256" s="212">
        <f>'НЕ УДАЛЯТЬ'!H256</f>
        <v>144.8</v>
      </c>
      <c r="I256" s="209"/>
      <c r="J256" s="209">
        <v>144.7</v>
      </c>
      <c r="K256" s="210">
        <f>J256/H256*100</f>
        <v>99.93093922651933</v>
      </c>
    </row>
    <row r="257" spans="1:11" ht="33.75" hidden="1">
      <c r="A257" s="106"/>
      <c r="B257" s="206" t="s">
        <v>108</v>
      </c>
      <c r="C257" s="206">
        <v>966</v>
      </c>
      <c r="D257" s="211" t="s">
        <v>89</v>
      </c>
      <c r="E257" s="211" t="s">
        <v>253</v>
      </c>
      <c r="F257" s="206">
        <v>240</v>
      </c>
      <c r="G257" s="206"/>
      <c r="H257" s="212">
        <f>H260+H258</f>
        <v>145.20000000000002</v>
      </c>
      <c r="I257" s="209"/>
      <c r="J257" s="209"/>
      <c r="K257" s="209"/>
    </row>
    <row r="258" spans="1:11" ht="33.75" hidden="1">
      <c r="A258" s="106"/>
      <c r="B258" s="206" t="s">
        <v>202</v>
      </c>
      <c r="C258" s="206">
        <v>966</v>
      </c>
      <c r="D258" s="211" t="s">
        <v>89</v>
      </c>
      <c r="E258" s="211" t="s">
        <v>253</v>
      </c>
      <c r="F258" s="206">
        <v>242</v>
      </c>
      <c r="G258" s="206"/>
      <c r="H258" s="212">
        <f>H259</f>
        <v>0.4</v>
      </c>
      <c r="I258" s="209"/>
      <c r="J258" s="209"/>
      <c r="K258" s="209"/>
    </row>
    <row r="259" spans="1:12" ht="12.75" hidden="1">
      <c r="A259" s="106"/>
      <c r="B259" s="206" t="s">
        <v>211</v>
      </c>
      <c r="C259" s="206">
        <v>966</v>
      </c>
      <c r="D259" s="211" t="s">
        <v>89</v>
      </c>
      <c r="E259" s="211" t="s">
        <v>253</v>
      </c>
      <c r="F259" s="206">
        <v>242</v>
      </c>
      <c r="G259" s="206">
        <v>221</v>
      </c>
      <c r="H259" s="212">
        <f>1.3-0.9</f>
        <v>0.4</v>
      </c>
      <c r="I259" s="209"/>
      <c r="J259" s="209"/>
      <c r="K259" s="209"/>
      <c r="L259">
        <v>-0.9</v>
      </c>
    </row>
    <row r="260" spans="1:11" ht="33.75" hidden="1">
      <c r="A260" s="106"/>
      <c r="B260" s="206" t="s">
        <v>199</v>
      </c>
      <c r="C260" s="206">
        <v>966</v>
      </c>
      <c r="D260" s="211" t="s">
        <v>89</v>
      </c>
      <c r="E260" s="211" t="s">
        <v>253</v>
      </c>
      <c r="F260" s="206">
        <v>244</v>
      </c>
      <c r="G260" s="206"/>
      <c r="H260" s="212">
        <f>SUM(H261:H263)</f>
        <v>144.8</v>
      </c>
      <c r="I260" s="209"/>
      <c r="J260" s="209"/>
      <c r="K260" s="209"/>
    </row>
    <row r="261" spans="1:12" ht="12.75" hidden="1">
      <c r="A261" s="106"/>
      <c r="B261" s="206" t="s">
        <v>208</v>
      </c>
      <c r="C261" s="206">
        <v>966</v>
      </c>
      <c r="D261" s="211" t="s">
        <v>89</v>
      </c>
      <c r="E261" s="211" t="s">
        <v>253</v>
      </c>
      <c r="F261" s="206">
        <v>244</v>
      </c>
      <c r="G261" s="206">
        <v>226</v>
      </c>
      <c r="H261" s="212">
        <f>200-195.9</f>
        <v>4.099999999999994</v>
      </c>
      <c r="I261" s="209"/>
      <c r="J261" s="209"/>
      <c r="K261" s="209"/>
      <c r="L261">
        <v>-195.9</v>
      </c>
    </row>
    <row r="262" spans="1:12" ht="12.75" hidden="1">
      <c r="A262" s="106"/>
      <c r="B262" s="206" t="s">
        <v>218</v>
      </c>
      <c r="C262" s="206">
        <v>966</v>
      </c>
      <c r="D262" s="211" t="s">
        <v>89</v>
      </c>
      <c r="E262" s="211" t="s">
        <v>253</v>
      </c>
      <c r="F262" s="206">
        <v>244</v>
      </c>
      <c r="G262" s="206">
        <v>310</v>
      </c>
      <c r="H262" s="212">
        <f>150-79.3-70</f>
        <v>0.7000000000000028</v>
      </c>
      <c r="I262" s="209"/>
      <c r="J262" s="209"/>
      <c r="K262" s="209"/>
      <c r="L262">
        <f>-79.3-70</f>
        <v>-149.3</v>
      </c>
    </row>
    <row r="263" spans="1:12" ht="22.5" hidden="1">
      <c r="A263" s="106"/>
      <c r="B263" s="206" t="s">
        <v>217</v>
      </c>
      <c r="C263" s="206">
        <v>966</v>
      </c>
      <c r="D263" s="211" t="s">
        <v>89</v>
      </c>
      <c r="E263" s="211" t="s">
        <v>253</v>
      </c>
      <c r="F263" s="206">
        <v>244</v>
      </c>
      <c r="G263" s="206">
        <v>340</v>
      </c>
      <c r="H263" s="212">
        <f>300-160</f>
        <v>140</v>
      </c>
      <c r="I263" s="209"/>
      <c r="J263" s="209"/>
      <c r="K263" s="209"/>
      <c r="L263">
        <v>-160</v>
      </c>
    </row>
    <row r="264" spans="1:11" ht="54" customHeight="1">
      <c r="A264" s="106" t="s">
        <v>427</v>
      </c>
      <c r="B264" s="206" t="s">
        <v>264</v>
      </c>
      <c r="C264" s="206">
        <v>966</v>
      </c>
      <c r="D264" s="211" t="s">
        <v>89</v>
      </c>
      <c r="E264" s="211" t="s">
        <v>173</v>
      </c>
      <c r="F264" s="206"/>
      <c r="G264" s="206"/>
      <c r="H264" s="212">
        <f>H265</f>
        <v>330.79999999999995</v>
      </c>
      <c r="I264" s="209"/>
      <c r="J264" s="209">
        <f>J265</f>
        <v>330.7</v>
      </c>
      <c r="K264" s="210">
        <f>K265</f>
        <v>100</v>
      </c>
    </row>
    <row r="265" spans="1:11" ht="33.75" customHeight="1">
      <c r="A265" s="106" t="s">
        <v>256</v>
      </c>
      <c r="B265" s="206" t="s">
        <v>199</v>
      </c>
      <c r="C265" s="206">
        <v>966</v>
      </c>
      <c r="D265" s="211" t="s">
        <v>89</v>
      </c>
      <c r="E265" s="211" t="s">
        <v>173</v>
      </c>
      <c r="F265" s="206">
        <v>200</v>
      </c>
      <c r="G265" s="206"/>
      <c r="H265" s="212">
        <f>'НЕ УДАЛЯТЬ'!H265</f>
        <v>330.79999999999995</v>
      </c>
      <c r="I265" s="209"/>
      <c r="J265" s="209">
        <v>330.7</v>
      </c>
      <c r="K265" s="210">
        <f>H265/H265*100</f>
        <v>100</v>
      </c>
    </row>
    <row r="266" spans="1:11" ht="33.75" hidden="1">
      <c r="A266" s="106"/>
      <c r="B266" s="206" t="s">
        <v>199</v>
      </c>
      <c r="C266" s="206">
        <v>966</v>
      </c>
      <c r="D266" s="211" t="s">
        <v>89</v>
      </c>
      <c r="E266" s="211" t="s">
        <v>173</v>
      </c>
      <c r="F266" s="206">
        <v>244</v>
      </c>
      <c r="G266" s="206"/>
      <c r="H266" s="212">
        <v>377.4</v>
      </c>
      <c r="I266" s="209"/>
      <c r="J266" s="209"/>
      <c r="K266" s="209"/>
    </row>
    <row r="267" spans="1:11" ht="12.75" hidden="1">
      <c r="A267" s="106"/>
      <c r="B267" s="206" t="s">
        <v>208</v>
      </c>
      <c r="C267" s="206">
        <v>966</v>
      </c>
      <c r="D267" s="211" t="s">
        <v>89</v>
      </c>
      <c r="E267" s="211" t="s">
        <v>173</v>
      </c>
      <c r="F267" s="206">
        <v>244</v>
      </c>
      <c r="G267" s="206">
        <v>266</v>
      </c>
      <c r="H267" s="212">
        <v>377.4</v>
      </c>
      <c r="I267" s="209"/>
      <c r="J267" s="209"/>
      <c r="K267" s="209"/>
    </row>
    <row r="268" spans="1:11" ht="12.75">
      <c r="A268" s="106" t="s">
        <v>134</v>
      </c>
      <c r="B268" s="206" t="s">
        <v>53</v>
      </c>
      <c r="C268" s="206">
        <v>966</v>
      </c>
      <c r="D268" s="211" t="s">
        <v>90</v>
      </c>
      <c r="E268" s="211"/>
      <c r="F268" s="206"/>
      <c r="G268" s="206"/>
      <c r="H268" s="212">
        <f>H269</f>
        <v>216.00000000000003</v>
      </c>
      <c r="I268" s="209"/>
      <c r="J268" s="210">
        <f aca="true" t="shared" si="0" ref="J268:K270">J269</f>
        <v>216</v>
      </c>
      <c r="K268" s="210">
        <f t="shared" si="0"/>
        <v>100</v>
      </c>
    </row>
    <row r="269" spans="1:11" ht="12.75">
      <c r="A269" s="106" t="s">
        <v>166</v>
      </c>
      <c r="B269" s="206" t="s">
        <v>55</v>
      </c>
      <c r="C269" s="206">
        <v>966</v>
      </c>
      <c r="D269" s="211" t="s">
        <v>91</v>
      </c>
      <c r="E269" s="211"/>
      <c r="F269" s="206"/>
      <c r="G269" s="206"/>
      <c r="H269" s="212">
        <f>H270</f>
        <v>216.00000000000003</v>
      </c>
      <c r="I269" s="209"/>
      <c r="J269" s="210">
        <f t="shared" si="0"/>
        <v>216</v>
      </c>
      <c r="K269" s="210">
        <f t="shared" si="0"/>
        <v>100</v>
      </c>
    </row>
    <row r="270" spans="1:11" ht="103.5" customHeight="1">
      <c r="A270" s="106" t="s">
        <v>51</v>
      </c>
      <c r="B270" s="206" t="s">
        <v>113</v>
      </c>
      <c r="C270" s="206">
        <v>966</v>
      </c>
      <c r="D270" s="211" t="s">
        <v>91</v>
      </c>
      <c r="E270" s="211" t="s">
        <v>187</v>
      </c>
      <c r="F270" s="206"/>
      <c r="G270" s="206"/>
      <c r="H270" s="212">
        <f>H271</f>
        <v>216.00000000000003</v>
      </c>
      <c r="I270" s="209"/>
      <c r="J270" s="210">
        <f t="shared" si="0"/>
        <v>216</v>
      </c>
      <c r="K270" s="210">
        <f t="shared" si="0"/>
        <v>100</v>
      </c>
    </row>
    <row r="271" spans="1:11" ht="22.5">
      <c r="A271" s="106" t="s">
        <v>52</v>
      </c>
      <c r="B271" s="206" t="s">
        <v>24</v>
      </c>
      <c r="C271" s="206">
        <v>966</v>
      </c>
      <c r="D271" s="211" t="s">
        <v>91</v>
      </c>
      <c r="E271" s="211" t="s">
        <v>187</v>
      </c>
      <c r="F271" s="206">
        <v>200</v>
      </c>
      <c r="G271" s="206"/>
      <c r="H271" s="212">
        <f>'НЕ УДАЛЯТЬ'!H272</f>
        <v>216.00000000000003</v>
      </c>
      <c r="I271" s="209"/>
      <c r="J271" s="210">
        <v>216</v>
      </c>
      <c r="K271" s="210">
        <v>100</v>
      </c>
    </row>
    <row r="272" spans="1:11" ht="33.75" hidden="1">
      <c r="A272" s="106"/>
      <c r="B272" s="206" t="s">
        <v>108</v>
      </c>
      <c r="C272" s="206">
        <v>966</v>
      </c>
      <c r="D272" s="211" t="s">
        <v>91</v>
      </c>
      <c r="E272" s="211" t="s">
        <v>187</v>
      </c>
      <c r="F272" s="206">
        <v>240</v>
      </c>
      <c r="G272" s="206"/>
      <c r="H272" s="212">
        <f>H273</f>
        <v>455.6</v>
      </c>
      <c r="I272" s="209"/>
      <c r="J272" s="209"/>
      <c r="K272" s="209"/>
    </row>
    <row r="273" spans="1:11" ht="33.75" hidden="1">
      <c r="A273" s="106"/>
      <c r="B273" s="206" t="s">
        <v>199</v>
      </c>
      <c r="C273" s="206">
        <v>966</v>
      </c>
      <c r="D273" s="211" t="s">
        <v>91</v>
      </c>
      <c r="E273" s="211" t="s">
        <v>187</v>
      </c>
      <c r="F273" s="206">
        <v>244</v>
      </c>
      <c r="G273" s="206"/>
      <c r="H273" s="212">
        <f>H274</f>
        <v>455.6</v>
      </c>
      <c r="I273" s="209"/>
      <c r="J273" s="209"/>
      <c r="K273" s="209"/>
    </row>
    <row r="274" spans="1:11" ht="12.75" hidden="1">
      <c r="A274" s="106"/>
      <c r="B274" s="206" t="s">
        <v>208</v>
      </c>
      <c r="C274" s="206">
        <v>966</v>
      </c>
      <c r="D274" s="211" t="s">
        <v>91</v>
      </c>
      <c r="E274" s="211" t="s">
        <v>187</v>
      </c>
      <c r="F274" s="206">
        <v>244</v>
      </c>
      <c r="G274" s="206">
        <v>226</v>
      </c>
      <c r="H274" s="212">
        <f>755.6-300</f>
        <v>455.6</v>
      </c>
      <c r="I274" s="209"/>
      <c r="J274" s="209"/>
      <c r="K274" s="209"/>
    </row>
    <row r="275" spans="1:11" ht="12.75">
      <c r="A275" s="106" t="s">
        <v>148</v>
      </c>
      <c r="B275" s="206" t="s">
        <v>58</v>
      </c>
      <c r="C275" s="206">
        <v>966</v>
      </c>
      <c r="D275" s="211" t="s">
        <v>92</v>
      </c>
      <c r="E275" s="211"/>
      <c r="F275" s="206"/>
      <c r="G275" s="206"/>
      <c r="H275" s="212">
        <f>H276</f>
        <v>33260.2</v>
      </c>
      <c r="I275" s="209"/>
      <c r="J275" s="210">
        <f>J276</f>
        <v>33260.2</v>
      </c>
      <c r="K275" s="210">
        <f>K276</f>
        <v>100</v>
      </c>
    </row>
    <row r="276" spans="1:11" ht="12.75">
      <c r="A276" s="106" t="s">
        <v>54</v>
      </c>
      <c r="B276" s="206" t="s">
        <v>60</v>
      </c>
      <c r="C276" s="206">
        <v>966</v>
      </c>
      <c r="D276" s="211" t="s">
        <v>93</v>
      </c>
      <c r="E276" s="211"/>
      <c r="F276" s="206"/>
      <c r="G276" s="206"/>
      <c r="H276" s="212">
        <f>H277+H283</f>
        <v>33260.2</v>
      </c>
      <c r="I276" s="209"/>
      <c r="J276" s="210">
        <f>J277+J283</f>
        <v>33260.2</v>
      </c>
      <c r="K276" s="210">
        <f>K277</f>
        <v>100</v>
      </c>
    </row>
    <row r="277" spans="1:11" ht="69.75" customHeight="1">
      <c r="A277" s="106" t="s">
        <v>56</v>
      </c>
      <c r="B277" s="206" t="s">
        <v>122</v>
      </c>
      <c r="C277" s="206">
        <v>966</v>
      </c>
      <c r="D277" s="211" t="s">
        <v>93</v>
      </c>
      <c r="E277" s="211" t="s">
        <v>188</v>
      </c>
      <c r="F277" s="206"/>
      <c r="G277" s="206"/>
      <c r="H277" s="212">
        <f>H278</f>
        <v>32860.2</v>
      </c>
      <c r="I277" s="209"/>
      <c r="J277" s="209">
        <f>J278</f>
        <v>32860.2</v>
      </c>
      <c r="K277" s="210">
        <f>K278</f>
        <v>100</v>
      </c>
    </row>
    <row r="278" spans="1:11" ht="22.5">
      <c r="A278" s="106" t="s">
        <v>57</v>
      </c>
      <c r="B278" s="206" t="s">
        <v>24</v>
      </c>
      <c r="C278" s="206">
        <v>966</v>
      </c>
      <c r="D278" s="211" t="s">
        <v>93</v>
      </c>
      <c r="E278" s="211" t="s">
        <v>188</v>
      </c>
      <c r="F278" s="206">
        <v>200</v>
      </c>
      <c r="G278" s="206"/>
      <c r="H278" s="212">
        <f>'НЕ УДАЛЯТЬ'!H279</f>
        <v>32860.2</v>
      </c>
      <c r="I278" s="209"/>
      <c r="J278" s="209">
        <v>32860.2</v>
      </c>
      <c r="K278" s="210">
        <f>K283</f>
        <v>100</v>
      </c>
    </row>
    <row r="279" spans="1:11" ht="33.75" hidden="1">
      <c r="A279" s="106"/>
      <c r="B279" s="206" t="s">
        <v>108</v>
      </c>
      <c r="C279" s="206">
        <v>966</v>
      </c>
      <c r="D279" s="211" t="s">
        <v>93</v>
      </c>
      <c r="E279" s="211" t="s">
        <v>188</v>
      </c>
      <c r="F279" s="206">
        <v>240</v>
      </c>
      <c r="G279" s="206"/>
      <c r="H279" s="212">
        <f>H280</f>
        <v>27554.800000000003</v>
      </c>
      <c r="I279" s="209"/>
      <c r="J279" s="209"/>
      <c r="K279" s="209"/>
    </row>
    <row r="280" spans="1:11" ht="33.75" hidden="1">
      <c r="A280" s="106"/>
      <c r="B280" s="206" t="s">
        <v>199</v>
      </c>
      <c r="C280" s="206">
        <v>966</v>
      </c>
      <c r="D280" s="211" t="s">
        <v>93</v>
      </c>
      <c r="E280" s="211" t="s">
        <v>188</v>
      </c>
      <c r="F280" s="206">
        <v>244</v>
      </c>
      <c r="G280" s="206"/>
      <c r="H280" s="212">
        <f>SUM(H281:H282)</f>
        <v>27554.800000000003</v>
      </c>
      <c r="I280" s="209"/>
      <c r="J280" s="209"/>
      <c r="K280" s="209"/>
    </row>
    <row r="281" spans="1:11" ht="12.75" hidden="1">
      <c r="A281" s="106"/>
      <c r="B281" s="206" t="s">
        <v>208</v>
      </c>
      <c r="C281" s="206">
        <v>966</v>
      </c>
      <c r="D281" s="211" t="s">
        <v>93</v>
      </c>
      <c r="E281" s="211" t="s">
        <v>188</v>
      </c>
      <c r="F281" s="206">
        <v>244</v>
      </c>
      <c r="G281" s="206">
        <v>226</v>
      </c>
      <c r="H281" s="212">
        <f>620-620</f>
        <v>0</v>
      </c>
      <c r="I281" s="209"/>
      <c r="J281" s="209"/>
      <c r="K281" s="209"/>
    </row>
    <row r="282" spans="1:12" ht="12.75" hidden="1">
      <c r="A282" s="106"/>
      <c r="B282" s="206" t="s">
        <v>203</v>
      </c>
      <c r="C282" s="206">
        <v>966</v>
      </c>
      <c r="D282" s="211" t="s">
        <v>93</v>
      </c>
      <c r="E282" s="211" t="s">
        <v>188</v>
      </c>
      <c r="F282" s="206">
        <v>244</v>
      </c>
      <c r="G282" s="206">
        <v>290</v>
      </c>
      <c r="H282" s="212">
        <f>8333.4+500.3+5988.1+1159.7+3006.4+2429-2420+620+7937.9</f>
        <v>27554.800000000003</v>
      </c>
      <c r="I282" s="209" t="s">
        <v>251</v>
      </c>
      <c r="J282" s="209"/>
      <c r="K282" s="209"/>
      <c r="L282">
        <v>7937.9</v>
      </c>
    </row>
    <row r="283" spans="1:11" ht="40.5" customHeight="1">
      <c r="A283" s="106" t="s">
        <v>149</v>
      </c>
      <c r="B283" s="206" t="s">
        <v>123</v>
      </c>
      <c r="C283" s="206">
        <v>966</v>
      </c>
      <c r="D283" s="211" t="s">
        <v>93</v>
      </c>
      <c r="E283" s="211" t="s">
        <v>189</v>
      </c>
      <c r="F283" s="206"/>
      <c r="G283" s="206"/>
      <c r="H283" s="212">
        <f>H284</f>
        <v>400</v>
      </c>
      <c r="I283" s="209"/>
      <c r="J283" s="210">
        <f>J284</f>
        <v>400</v>
      </c>
      <c r="K283" s="210">
        <f>K284</f>
        <v>100</v>
      </c>
    </row>
    <row r="284" spans="1:11" ht="22.5">
      <c r="A284" s="106" t="s">
        <v>150</v>
      </c>
      <c r="B284" s="206" t="s">
        <v>24</v>
      </c>
      <c r="C284" s="206">
        <v>966</v>
      </c>
      <c r="D284" s="211" t="s">
        <v>93</v>
      </c>
      <c r="E284" s="211" t="s">
        <v>189</v>
      </c>
      <c r="F284" s="206">
        <v>200</v>
      </c>
      <c r="G284" s="206"/>
      <c r="H284" s="212">
        <f>'НЕ УДАЛЯТЬ'!H285</f>
        <v>400</v>
      </c>
      <c r="I284" s="209"/>
      <c r="J284" s="210">
        <f>H284</f>
        <v>400</v>
      </c>
      <c r="K284" s="210">
        <v>100</v>
      </c>
    </row>
    <row r="285" spans="1:11" ht="33.75" hidden="1">
      <c r="A285" s="106"/>
      <c r="B285" s="206" t="s">
        <v>108</v>
      </c>
      <c r="C285" s="206">
        <v>966</v>
      </c>
      <c r="D285" s="211" t="s">
        <v>93</v>
      </c>
      <c r="E285" s="211" t="s">
        <v>189</v>
      </c>
      <c r="F285" s="206">
        <v>240</v>
      </c>
      <c r="G285" s="206"/>
      <c r="H285" s="212">
        <f>H286</f>
        <v>400</v>
      </c>
      <c r="I285" s="209"/>
      <c r="J285" s="209"/>
      <c r="K285" s="209"/>
    </row>
    <row r="286" spans="1:11" ht="33.75" hidden="1">
      <c r="A286" s="106"/>
      <c r="B286" s="206" t="s">
        <v>199</v>
      </c>
      <c r="C286" s="206">
        <v>966</v>
      </c>
      <c r="D286" s="211" t="s">
        <v>93</v>
      </c>
      <c r="E286" s="211" t="s">
        <v>189</v>
      </c>
      <c r="F286" s="206">
        <v>244</v>
      </c>
      <c r="G286" s="206"/>
      <c r="H286" s="212">
        <f>H287</f>
        <v>400</v>
      </c>
      <c r="I286" s="209"/>
      <c r="J286" s="209"/>
      <c r="K286" s="209"/>
    </row>
    <row r="287" spans="1:12" ht="12.75" hidden="1">
      <c r="A287" s="106"/>
      <c r="B287" s="206" t="s">
        <v>203</v>
      </c>
      <c r="C287" s="206">
        <v>966</v>
      </c>
      <c r="D287" s="211" t="s">
        <v>93</v>
      </c>
      <c r="E287" s="211" t="s">
        <v>189</v>
      </c>
      <c r="F287" s="206">
        <v>244</v>
      </c>
      <c r="G287" s="206">
        <v>290</v>
      </c>
      <c r="H287" s="212">
        <f>570-170</f>
        <v>400</v>
      </c>
      <c r="I287" s="209"/>
      <c r="J287" s="209"/>
      <c r="K287" s="209"/>
      <c r="L287">
        <v>-170</v>
      </c>
    </row>
    <row r="288" spans="1:11" ht="12.75">
      <c r="A288" s="106" t="s">
        <v>151</v>
      </c>
      <c r="B288" s="206" t="s">
        <v>62</v>
      </c>
      <c r="C288" s="206">
        <v>966</v>
      </c>
      <c r="D288" s="211">
        <v>1000</v>
      </c>
      <c r="E288" s="211"/>
      <c r="F288" s="206"/>
      <c r="G288" s="206"/>
      <c r="H288" s="212">
        <f>H289+H295</f>
        <v>9779.519999999999</v>
      </c>
      <c r="I288" s="209"/>
      <c r="J288" s="210">
        <f>J289+J295</f>
        <v>8682.92</v>
      </c>
      <c r="K288" s="210">
        <f>J288/H288*100</f>
        <v>88.7867707208534</v>
      </c>
    </row>
    <row r="289" spans="1:11" ht="12.75">
      <c r="A289" s="106" t="s">
        <v>59</v>
      </c>
      <c r="B289" s="206" t="s">
        <v>64</v>
      </c>
      <c r="C289" s="206">
        <v>966</v>
      </c>
      <c r="D289" s="211">
        <v>1003</v>
      </c>
      <c r="E289" s="211"/>
      <c r="F289" s="206"/>
      <c r="G289" s="206"/>
      <c r="H289" s="212">
        <f>H290</f>
        <v>397.82</v>
      </c>
      <c r="I289" s="209"/>
      <c r="J289" s="210">
        <f>J290</f>
        <v>397.82</v>
      </c>
      <c r="K289" s="210">
        <f>K290</f>
        <v>100</v>
      </c>
    </row>
    <row r="290" spans="1:11" ht="78.75" customHeight="1">
      <c r="A290" s="106" t="s">
        <v>61</v>
      </c>
      <c r="B290" s="206" t="s">
        <v>99</v>
      </c>
      <c r="C290" s="206">
        <v>966</v>
      </c>
      <c r="D290" s="211">
        <v>1003</v>
      </c>
      <c r="E290" s="211" t="s">
        <v>190</v>
      </c>
      <c r="F290" s="206"/>
      <c r="G290" s="206"/>
      <c r="H290" s="212">
        <f>H291</f>
        <v>397.82</v>
      </c>
      <c r="I290" s="209"/>
      <c r="J290" s="210">
        <f>J291</f>
        <v>397.82</v>
      </c>
      <c r="K290" s="210">
        <f>K291</f>
        <v>100</v>
      </c>
    </row>
    <row r="291" spans="1:11" ht="36" customHeight="1">
      <c r="A291" s="106" t="s">
        <v>152</v>
      </c>
      <c r="B291" s="206" t="s">
        <v>100</v>
      </c>
      <c r="C291" s="206">
        <v>966</v>
      </c>
      <c r="D291" s="211">
        <v>1003</v>
      </c>
      <c r="E291" s="211" t="s">
        <v>190</v>
      </c>
      <c r="F291" s="206">
        <v>300</v>
      </c>
      <c r="G291" s="206"/>
      <c r="H291" s="212">
        <f>'НЕ УДАЛЯТЬ'!H292</f>
        <v>397.82</v>
      </c>
      <c r="I291" s="209"/>
      <c r="J291" s="210">
        <f>H291</f>
        <v>397.82</v>
      </c>
      <c r="K291" s="210">
        <v>100</v>
      </c>
    </row>
    <row r="292" spans="1:11" ht="22.5" hidden="1">
      <c r="A292" s="106"/>
      <c r="B292" s="206" t="s">
        <v>102</v>
      </c>
      <c r="C292" s="206">
        <v>966</v>
      </c>
      <c r="D292" s="211">
        <v>1003</v>
      </c>
      <c r="E292" s="211" t="s">
        <v>190</v>
      </c>
      <c r="F292" s="206">
        <v>310</v>
      </c>
      <c r="G292" s="206"/>
      <c r="H292" s="212">
        <f>H293</f>
        <v>397.82</v>
      </c>
      <c r="I292" s="209"/>
      <c r="J292" s="209"/>
      <c r="K292" s="209"/>
    </row>
    <row r="293" spans="1:11" ht="12.75" hidden="1">
      <c r="A293" s="106"/>
      <c r="B293" s="209" t="s">
        <v>201</v>
      </c>
      <c r="C293" s="206">
        <v>966</v>
      </c>
      <c r="D293" s="211">
        <v>1003</v>
      </c>
      <c r="E293" s="211" t="s">
        <v>190</v>
      </c>
      <c r="F293" s="206">
        <v>312</v>
      </c>
      <c r="G293" s="206"/>
      <c r="H293" s="212">
        <f>H294</f>
        <v>397.82</v>
      </c>
      <c r="I293" s="209"/>
      <c r="J293" s="209"/>
      <c r="K293" s="209"/>
    </row>
    <row r="294" spans="1:11" ht="33.75" hidden="1">
      <c r="A294" s="106"/>
      <c r="B294" s="206" t="s">
        <v>242</v>
      </c>
      <c r="C294" s="206">
        <v>966</v>
      </c>
      <c r="D294" s="211">
        <v>1003</v>
      </c>
      <c r="E294" s="211" t="s">
        <v>190</v>
      </c>
      <c r="F294" s="206">
        <v>312</v>
      </c>
      <c r="G294" s="206">
        <v>263</v>
      </c>
      <c r="H294" s="212">
        <f>405.32-7.5</f>
        <v>397.82</v>
      </c>
      <c r="I294" s="209"/>
      <c r="J294" s="209"/>
      <c r="K294" s="209"/>
    </row>
    <row r="295" spans="1:11" ht="12.75">
      <c r="A295" s="106" t="s">
        <v>153</v>
      </c>
      <c r="B295" s="206" t="s">
        <v>66</v>
      </c>
      <c r="C295" s="206">
        <v>966</v>
      </c>
      <c r="D295" s="211">
        <v>1004</v>
      </c>
      <c r="E295" s="211"/>
      <c r="F295" s="206"/>
      <c r="G295" s="206"/>
      <c r="H295" s="212">
        <f>H296+H300</f>
        <v>9381.699999999999</v>
      </c>
      <c r="I295" s="209"/>
      <c r="J295" s="209">
        <f>J296+J300</f>
        <v>8285.1</v>
      </c>
      <c r="K295" s="210">
        <f>J295/H295*100</f>
        <v>88.31128686698574</v>
      </c>
    </row>
    <row r="296" spans="1:12" ht="64.5" customHeight="1">
      <c r="A296" s="106" t="s">
        <v>154</v>
      </c>
      <c r="B296" s="206" t="s">
        <v>126</v>
      </c>
      <c r="C296" s="206">
        <v>966</v>
      </c>
      <c r="D296" s="211">
        <v>1004</v>
      </c>
      <c r="E296" s="211" t="s">
        <v>245</v>
      </c>
      <c r="F296" s="206"/>
      <c r="G296" s="206"/>
      <c r="H296" s="212">
        <f>H297</f>
        <v>6793.099999999999</v>
      </c>
      <c r="I296" s="209"/>
      <c r="J296" s="209">
        <f>J297</f>
        <v>5763.5</v>
      </c>
      <c r="K296" s="210">
        <f>K297</f>
        <v>84.84344408296654</v>
      </c>
      <c r="L296" s="182"/>
    </row>
    <row r="297" spans="1:11" ht="22.5">
      <c r="A297" s="106" t="s">
        <v>155</v>
      </c>
      <c r="B297" s="206" t="s">
        <v>100</v>
      </c>
      <c r="C297" s="206">
        <v>966</v>
      </c>
      <c r="D297" s="211">
        <v>1004</v>
      </c>
      <c r="E297" s="211" t="s">
        <v>245</v>
      </c>
      <c r="F297" s="206">
        <v>300</v>
      </c>
      <c r="G297" s="206"/>
      <c r="H297" s="212">
        <f>'НЕ УДАЛЯТЬ'!H298</f>
        <v>6793.099999999999</v>
      </c>
      <c r="I297" s="209"/>
      <c r="J297" s="209">
        <v>5763.5</v>
      </c>
      <c r="K297" s="210">
        <f>J297/H297*100</f>
        <v>84.84344408296654</v>
      </c>
    </row>
    <row r="298" spans="1:11" ht="22.5" hidden="1">
      <c r="A298" s="106"/>
      <c r="B298" s="206" t="s">
        <v>102</v>
      </c>
      <c r="C298" s="206">
        <v>966</v>
      </c>
      <c r="D298" s="211">
        <v>1004</v>
      </c>
      <c r="E298" s="211" t="s">
        <v>245</v>
      </c>
      <c r="F298" s="206">
        <v>310</v>
      </c>
      <c r="G298" s="206"/>
      <c r="H298" s="212">
        <f>H299</f>
        <v>6793.099999999999</v>
      </c>
      <c r="I298" s="209"/>
      <c r="J298" s="209"/>
      <c r="K298" s="209"/>
    </row>
    <row r="299" spans="1:11" ht="17.25" customHeight="1" hidden="1">
      <c r="A299" s="106"/>
      <c r="B299" s="206" t="s">
        <v>200</v>
      </c>
      <c r="C299" s="206">
        <v>966</v>
      </c>
      <c r="D299" s="211">
        <v>1004</v>
      </c>
      <c r="E299" s="211" t="s">
        <v>245</v>
      </c>
      <c r="F299" s="206">
        <v>313</v>
      </c>
      <c r="G299" s="206">
        <v>262</v>
      </c>
      <c r="H299" s="212">
        <f>5915.9+695.3+181.9</f>
        <v>6793.099999999999</v>
      </c>
      <c r="I299" s="209"/>
      <c r="J299" s="209"/>
      <c r="K299" s="209"/>
    </row>
    <row r="300" spans="1:11" ht="56.25">
      <c r="A300" s="106" t="s">
        <v>156</v>
      </c>
      <c r="B300" s="206" t="s">
        <v>125</v>
      </c>
      <c r="C300" s="206">
        <v>966</v>
      </c>
      <c r="D300" s="211">
        <v>1004</v>
      </c>
      <c r="E300" s="211" t="s">
        <v>246</v>
      </c>
      <c r="F300" s="206"/>
      <c r="G300" s="206"/>
      <c r="H300" s="212">
        <f>H302</f>
        <v>2588.6</v>
      </c>
      <c r="I300" s="209"/>
      <c r="J300" s="209">
        <f>J301</f>
        <v>2521.6</v>
      </c>
      <c r="K300" s="210">
        <f>J300/H300*100</f>
        <v>97.41172834736923</v>
      </c>
    </row>
    <row r="301" spans="1:11" ht="22.5">
      <c r="A301" s="106" t="s">
        <v>157</v>
      </c>
      <c r="B301" s="206" t="s">
        <v>451</v>
      </c>
      <c r="C301" s="206">
        <v>966</v>
      </c>
      <c r="D301" s="211">
        <v>1004</v>
      </c>
      <c r="E301" s="211" t="s">
        <v>246</v>
      </c>
      <c r="F301" s="206">
        <v>300</v>
      </c>
      <c r="G301" s="206"/>
      <c r="H301" s="212">
        <f>'НЕ УДАЛЯТЬ'!H302</f>
        <v>2588.6</v>
      </c>
      <c r="I301" s="209"/>
      <c r="J301" s="209">
        <v>2521.6</v>
      </c>
      <c r="K301" s="210">
        <f>J301/H301*100</f>
        <v>97.41172834736923</v>
      </c>
    </row>
    <row r="302" spans="1:11" ht="13.5" customHeight="1" hidden="1">
      <c r="A302" s="106"/>
      <c r="B302" s="209" t="s">
        <v>110</v>
      </c>
      <c r="C302" s="206">
        <v>966</v>
      </c>
      <c r="D302" s="211">
        <v>1004</v>
      </c>
      <c r="E302" s="211" t="s">
        <v>246</v>
      </c>
      <c r="F302" s="206">
        <v>323</v>
      </c>
      <c r="G302" s="206"/>
      <c r="H302" s="212">
        <f>H303</f>
        <v>2588.6</v>
      </c>
      <c r="I302" s="209"/>
      <c r="J302" s="209"/>
      <c r="K302" s="209"/>
    </row>
    <row r="303" spans="1:11" ht="33.75" hidden="1">
      <c r="A303" s="106"/>
      <c r="B303" s="206" t="s">
        <v>200</v>
      </c>
      <c r="C303" s="206">
        <v>966</v>
      </c>
      <c r="D303" s="211">
        <v>1004</v>
      </c>
      <c r="E303" s="211" t="s">
        <v>246</v>
      </c>
      <c r="F303" s="206">
        <v>323</v>
      </c>
      <c r="G303" s="206">
        <v>226</v>
      </c>
      <c r="H303" s="212">
        <f>3333.7-325.4-419.7</f>
        <v>2588.6</v>
      </c>
      <c r="I303" s="209"/>
      <c r="J303" s="209"/>
      <c r="K303" s="209"/>
    </row>
    <row r="304" spans="1:11" ht="12.75">
      <c r="A304" s="106" t="s">
        <v>158</v>
      </c>
      <c r="B304" s="206" t="s">
        <v>67</v>
      </c>
      <c r="C304" s="206">
        <v>966</v>
      </c>
      <c r="D304" s="211">
        <v>1100</v>
      </c>
      <c r="E304" s="211"/>
      <c r="F304" s="206"/>
      <c r="G304" s="206"/>
      <c r="H304" s="212">
        <f>H308+H305</f>
        <v>2080</v>
      </c>
      <c r="I304" s="209"/>
      <c r="J304" s="210">
        <f>J305+J308</f>
        <v>2080</v>
      </c>
      <c r="K304" s="210">
        <f>K305</f>
        <v>100</v>
      </c>
    </row>
    <row r="305" spans="1:11" ht="12.75">
      <c r="A305" s="106" t="s">
        <v>63</v>
      </c>
      <c r="B305" s="206" t="s">
        <v>420</v>
      </c>
      <c r="C305" s="206">
        <v>966</v>
      </c>
      <c r="D305" s="211" t="s">
        <v>419</v>
      </c>
      <c r="E305" s="211"/>
      <c r="F305" s="206"/>
      <c r="G305" s="206"/>
      <c r="H305" s="212">
        <f>H306</f>
        <v>440</v>
      </c>
      <c r="I305" s="209"/>
      <c r="J305" s="210">
        <f>J306</f>
        <v>440</v>
      </c>
      <c r="K305" s="210">
        <f>K306</f>
        <v>100</v>
      </c>
    </row>
    <row r="306" spans="1:11" ht="119.25" customHeight="1">
      <c r="A306" s="106" t="s">
        <v>65</v>
      </c>
      <c r="B306" s="206" t="s">
        <v>127</v>
      </c>
      <c r="C306" s="206">
        <v>966</v>
      </c>
      <c r="D306" s="211" t="s">
        <v>419</v>
      </c>
      <c r="E306" s="211" t="s">
        <v>248</v>
      </c>
      <c r="F306" s="206"/>
      <c r="G306" s="206"/>
      <c r="H306" s="212">
        <f>H307</f>
        <v>440</v>
      </c>
      <c r="I306" s="209"/>
      <c r="J306" s="210">
        <f>J307</f>
        <v>440</v>
      </c>
      <c r="K306" s="210">
        <f>K307</f>
        <v>100</v>
      </c>
    </row>
    <row r="307" spans="1:11" ht="22.5">
      <c r="A307" s="106" t="s">
        <v>159</v>
      </c>
      <c r="B307" s="206" t="s">
        <v>24</v>
      </c>
      <c r="C307" s="206">
        <v>966</v>
      </c>
      <c r="D307" s="211" t="s">
        <v>419</v>
      </c>
      <c r="E307" s="211" t="s">
        <v>248</v>
      </c>
      <c r="F307" s="206">
        <v>200</v>
      </c>
      <c r="G307" s="206"/>
      <c r="H307" s="212">
        <f>'НЕ УДАЛЯТЬ'!H309</f>
        <v>440</v>
      </c>
      <c r="I307" s="209"/>
      <c r="J307" s="210">
        <f>H307</f>
        <v>440</v>
      </c>
      <c r="K307" s="210">
        <v>100</v>
      </c>
    </row>
    <row r="308" spans="1:11" ht="12.75">
      <c r="A308" s="106" t="s">
        <v>298</v>
      </c>
      <c r="B308" s="206" t="s">
        <v>69</v>
      </c>
      <c r="C308" s="206">
        <v>966</v>
      </c>
      <c r="D308" s="211">
        <v>1102</v>
      </c>
      <c r="E308" s="211"/>
      <c r="F308" s="206"/>
      <c r="G308" s="206"/>
      <c r="H308" s="212">
        <f>H309</f>
        <v>1640</v>
      </c>
      <c r="I308" s="209"/>
      <c r="J308" s="210">
        <f>J309</f>
        <v>1640</v>
      </c>
      <c r="K308" s="210">
        <f>K309</f>
        <v>100</v>
      </c>
    </row>
    <row r="309" spans="1:11" ht="116.25" customHeight="1">
      <c r="A309" s="106" t="s">
        <v>428</v>
      </c>
      <c r="B309" s="206" t="s">
        <v>127</v>
      </c>
      <c r="C309" s="206">
        <v>966</v>
      </c>
      <c r="D309" s="211">
        <v>1102</v>
      </c>
      <c r="E309" s="211" t="s">
        <v>248</v>
      </c>
      <c r="F309" s="206"/>
      <c r="G309" s="206"/>
      <c r="H309" s="212">
        <f>H310</f>
        <v>1640</v>
      </c>
      <c r="I309" s="209"/>
      <c r="J309" s="210">
        <f>J310</f>
        <v>1640</v>
      </c>
      <c r="K309" s="210">
        <f>K310</f>
        <v>100</v>
      </c>
    </row>
    <row r="310" spans="1:11" ht="22.5">
      <c r="A310" s="106" t="s">
        <v>429</v>
      </c>
      <c r="B310" s="206" t="s">
        <v>24</v>
      </c>
      <c r="C310" s="206">
        <v>966</v>
      </c>
      <c r="D310" s="211">
        <v>1102</v>
      </c>
      <c r="E310" s="211" t="s">
        <v>248</v>
      </c>
      <c r="F310" s="206">
        <v>200</v>
      </c>
      <c r="G310" s="206"/>
      <c r="H310" s="212">
        <f>'НЕ УДАЛЯТЬ'!H314</f>
        <v>1640</v>
      </c>
      <c r="I310" s="209"/>
      <c r="J310" s="210">
        <f>H310</f>
        <v>1640</v>
      </c>
      <c r="K310" s="210">
        <f>K307</f>
        <v>100</v>
      </c>
    </row>
    <row r="311" spans="1:11" ht="33.75" hidden="1">
      <c r="A311" s="106"/>
      <c r="B311" s="206" t="s">
        <v>108</v>
      </c>
      <c r="C311" s="206">
        <v>966</v>
      </c>
      <c r="D311" s="211">
        <v>1102</v>
      </c>
      <c r="E311" s="211" t="s">
        <v>248</v>
      </c>
      <c r="F311" s="206">
        <v>240</v>
      </c>
      <c r="G311" s="206"/>
      <c r="H311" s="212">
        <f>H312</f>
        <v>600</v>
      </c>
      <c r="I311" s="209"/>
      <c r="J311" s="209"/>
      <c r="K311" s="209"/>
    </row>
    <row r="312" spans="1:11" ht="33.75" hidden="1">
      <c r="A312" s="106"/>
      <c r="B312" s="206" t="s">
        <v>199</v>
      </c>
      <c r="C312" s="206">
        <v>966</v>
      </c>
      <c r="D312" s="211">
        <v>1102</v>
      </c>
      <c r="E312" s="211" t="s">
        <v>248</v>
      </c>
      <c r="F312" s="206">
        <v>244</v>
      </c>
      <c r="G312" s="206"/>
      <c r="H312" s="212">
        <f>H313</f>
        <v>600</v>
      </c>
      <c r="I312" s="209"/>
      <c r="J312" s="209"/>
      <c r="K312" s="209"/>
    </row>
    <row r="313" spans="1:12" ht="12.75" hidden="1">
      <c r="A313" s="106"/>
      <c r="B313" s="206" t="s">
        <v>203</v>
      </c>
      <c r="C313" s="206">
        <v>966</v>
      </c>
      <c r="D313" s="211">
        <v>1102</v>
      </c>
      <c r="E313" s="211" t="s">
        <v>248</v>
      </c>
      <c r="F313" s="206">
        <v>244</v>
      </c>
      <c r="G313" s="206">
        <v>290</v>
      </c>
      <c r="H313" s="212">
        <f>200+400</f>
        <v>600</v>
      </c>
      <c r="I313" s="209"/>
      <c r="J313" s="209"/>
      <c r="K313" s="209"/>
      <c r="L313">
        <v>400</v>
      </c>
    </row>
    <row r="314" spans="1:11" ht="12.75">
      <c r="A314" s="106" t="s">
        <v>160</v>
      </c>
      <c r="B314" s="206" t="s">
        <v>72</v>
      </c>
      <c r="C314" s="206">
        <v>966</v>
      </c>
      <c r="D314" s="211">
        <v>1200</v>
      </c>
      <c r="E314" s="211"/>
      <c r="F314" s="206"/>
      <c r="G314" s="206"/>
      <c r="H314" s="212">
        <f>H315</f>
        <v>1649.2</v>
      </c>
      <c r="I314" s="209"/>
      <c r="J314" s="209">
        <f>J315</f>
        <v>1649.2</v>
      </c>
      <c r="K314" s="210">
        <f>K316</f>
        <v>100</v>
      </c>
    </row>
    <row r="315" spans="1:11" ht="12.75">
      <c r="A315" s="106" t="s">
        <v>68</v>
      </c>
      <c r="B315" s="206" t="s">
        <v>73</v>
      </c>
      <c r="C315" s="206">
        <v>966</v>
      </c>
      <c r="D315" s="211">
        <v>1202</v>
      </c>
      <c r="E315" s="211"/>
      <c r="F315" s="206"/>
      <c r="G315" s="206"/>
      <c r="H315" s="212">
        <f>H316</f>
        <v>1649.2</v>
      </c>
      <c r="I315" s="209"/>
      <c r="J315" s="209">
        <f>J316</f>
        <v>1649.2</v>
      </c>
      <c r="K315" s="210">
        <f>K316</f>
        <v>100</v>
      </c>
    </row>
    <row r="316" spans="1:11" ht="138" customHeight="1">
      <c r="A316" s="106" t="s">
        <v>70</v>
      </c>
      <c r="B316" s="206" t="s">
        <v>111</v>
      </c>
      <c r="C316" s="206">
        <v>966</v>
      </c>
      <c r="D316" s="211">
        <v>1202</v>
      </c>
      <c r="E316" s="211" t="s">
        <v>191</v>
      </c>
      <c r="F316" s="206"/>
      <c r="G316" s="206"/>
      <c r="H316" s="212">
        <f>H317</f>
        <v>1649.2</v>
      </c>
      <c r="I316" s="209"/>
      <c r="J316" s="209">
        <f>J317</f>
        <v>1649.2</v>
      </c>
      <c r="K316" s="210">
        <f>K317</f>
        <v>100</v>
      </c>
    </row>
    <row r="317" spans="1:11" ht="22.5">
      <c r="A317" s="106" t="s">
        <v>71</v>
      </c>
      <c r="B317" s="206" t="s">
        <v>24</v>
      </c>
      <c r="C317" s="206">
        <v>966</v>
      </c>
      <c r="D317" s="211">
        <v>1202</v>
      </c>
      <c r="E317" s="211" t="s">
        <v>191</v>
      </c>
      <c r="F317" s="206">
        <v>200</v>
      </c>
      <c r="G317" s="206"/>
      <c r="H317" s="212">
        <f>'НЕ УДАЛЯТЬ'!H321</f>
        <v>1649.2</v>
      </c>
      <c r="I317" s="209"/>
      <c r="J317" s="209">
        <f>1649.2</f>
        <v>1649.2</v>
      </c>
      <c r="K317" s="210">
        <v>100</v>
      </c>
    </row>
    <row r="318" spans="1:11" ht="33.75" hidden="1">
      <c r="A318" s="106"/>
      <c r="B318" s="206" t="s">
        <v>108</v>
      </c>
      <c r="C318" s="206">
        <v>966</v>
      </c>
      <c r="D318" s="211">
        <v>1202</v>
      </c>
      <c r="E318" s="211" t="s">
        <v>191</v>
      </c>
      <c r="F318" s="206">
        <v>240</v>
      </c>
      <c r="G318" s="206"/>
      <c r="H318" s="212">
        <f>H319</f>
        <v>1650.4</v>
      </c>
      <c r="I318" s="209"/>
      <c r="J318" s="209"/>
      <c r="K318" s="209"/>
    </row>
    <row r="319" spans="1:11" ht="33.75" hidden="1">
      <c r="A319" s="106"/>
      <c r="B319" s="206" t="s">
        <v>199</v>
      </c>
      <c r="C319" s="206">
        <v>966</v>
      </c>
      <c r="D319" s="211">
        <v>1202</v>
      </c>
      <c r="E319" s="211" t="s">
        <v>191</v>
      </c>
      <c r="F319" s="206">
        <v>244</v>
      </c>
      <c r="G319" s="206"/>
      <c r="H319" s="212">
        <f>H320+H321</f>
        <v>1650.4</v>
      </c>
      <c r="I319" s="209"/>
      <c r="J319" s="209"/>
      <c r="K319" s="209"/>
    </row>
    <row r="320" spans="1:11" ht="12.75" hidden="1">
      <c r="A320" s="106"/>
      <c r="B320" s="206" t="s">
        <v>208</v>
      </c>
      <c r="C320" s="206">
        <v>966</v>
      </c>
      <c r="D320" s="211">
        <v>1202</v>
      </c>
      <c r="E320" s="211" t="s">
        <v>191</v>
      </c>
      <c r="F320" s="206">
        <v>244</v>
      </c>
      <c r="G320" s="206">
        <v>226</v>
      </c>
      <c r="H320" s="212">
        <v>145.1</v>
      </c>
      <c r="I320" s="209"/>
      <c r="J320" s="209"/>
      <c r="K320" s="209"/>
    </row>
    <row r="321" spans="1:11" ht="22.5" hidden="1">
      <c r="A321" s="106"/>
      <c r="B321" s="206" t="s">
        <v>217</v>
      </c>
      <c r="C321" s="206">
        <v>966</v>
      </c>
      <c r="D321" s="211">
        <v>1202</v>
      </c>
      <c r="E321" s="211" t="s">
        <v>191</v>
      </c>
      <c r="F321" s="206">
        <v>244</v>
      </c>
      <c r="G321" s="206">
        <v>340</v>
      </c>
      <c r="H321" s="212">
        <f>2854.9-490-859.6</f>
        <v>1505.3000000000002</v>
      </c>
      <c r="I321" s="209" t="s">
        <v>251</v>
      </c>
      <c r="J321" s="209"/>
      <c r="K321" s="209"/>
    </row>
    <row r="322" spans="1:11" ht="12.75">
      <c r="A322" s="106"/>
      <c r="B322" s="206" t="s">
        <v>74</v>
      </c>
      <c r="C322" s="206"/>
      <c r="D322" s="206"/>
      <c r="E322" s="206"/>
      <c r="F322" s="206"/>
      <c r="G322" s="206"/>
      <c r="H322" s="212">
        <f>H52+H12</f>
        <v>115592.42</v>
      </c>
      <c r="I322" s="209"/>
      <c r="J322" s="209">
        <v>114320.2</v>
      </c>
      <c r="K322" s="210">
        <f>J322/H322*100</f>
        <v>98.89939149989246</v>
      </c>
    </row>
  </sheetData>
  <sheetProtection/>
  <mergeCells count="6">
    <mergeCell ref="B5:K5"/>
    <mergeCell ref="B10:F10"/>
    <mergeCell ref="D1:K1"/>
    <mergeCell ref="B2:K2"/>
    <mergeCell ref="B3:K3"/>
    <mergeCell ref="B4:K4"/>
  </mergeCells>
  <printOptions/>
  <pageMargins left="0.2362204724409449" right="0.2362204724409449" top="0.1968503937007874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2"/>
  <sheetViews>
    <sheetView zoomScalePageLayoutView="0" workbookViewId="0" topLeftCell="A1">
      <selection activeCell="L6" sqref="L6"/>
    </sheetView>
  </sheetViews>
  <sheetFormatPr defaultColWidth="9.00390625" defaultRowHeight="12.75"/>
  <cols>
    <col min="1" max="1" width="12.00390625" style="0" customWidth="1"/>
    <col min="2" max="2" width="27.875" style="0" customWidth="1"/>
    <col min="3" max="3" width="7.25390625" style="0" customWidth="1"/>
    <col min="4" max="4" width="13.125" style="0" customWidth="1"/>
    <col min="5" max="5" width="9.125" style="0" customWidth="1"/>
    <col min="6" max="6" width="1.12109375" style="0" customWidth="1"/>
    <col min="7" max="7" width="9.125" style="0" hidden="1" customWidth="1"/>
    <col min="8" max="8" width="9.00390625" style="0" hidden="1" customWidth="1"/>
    <col min="9" max="9" width="9.125" style="0" hidden="1" customWidth="1"/>
  </cols>
  <sheetData>
    <row r="1" spans="1:11" ht="12.75">
      <c r="A1" s="122"/>
      <c r="B1" s="187"/>
      <c r="C1" s="187"/>
      <c r="D1" s="252" t="s">
        <v>505</v>
      </c>
      <c r="E1" s="252"/>
      <c r="F1" s="252"/>
      <c r="G1" s="252"/>
      <c r="H1" s="252"/>
      <c r="I1" s="252"/>
      <c r="J1" s="252"/>
      <c r="K1" s="252"/>
    </row>
    <row r="2" spans="1:11" ht="12.75" customHeight="1">
      <c r="A2" s="122"/>
      <c r="B2" s="253" t="s">
        <v>234</v>
      </c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2.75" customHeight="1">
      <c r="A3" s="126"/>
      <c r="B3" s="253" t="s">
        <v>462</v>
      </c>
      <c r="C3" s="253"/>
      <c r="D3" s="253"/>
      <c r="E3" s="253"/>
      <c r="F3" s="253"/>
      <c r="G3" s="253"/>
      <c r="H3" s="253"/>
      <c r="I3" s="253"/>
      <c r="J3" s="253"/>
      <c r="K3" s="253"/>
    </row>
    <row r="4" spans="1:11" ht="12.75" customHeight="1">
      <c r="A4" s="126"/>
      <c r="B4" s="253" t="s">
        <v>509</v>
      </c>
      <c r="C4" s="253"/>
      <c r="D4" s="253"/>
      <c r="E4" s="253"/>
      <c r="F4" s="253"/>
      <c r="G4" s="253"/>
      <c r="H4" s="253"/>
      <c r="I4" s="253"/>
      <c r="J4" s="253"/>
      <c r="K4" s="253"/>
    </row>
    <row r="5" spans="1:11" ht="27.75" customHeight="1">
      <c r="A5" s="126"/>
      <c r="B5" s="250" t="s">
        <v>506</v>
      </c>
      <c r="C5" s="250"/>
      <c r="D5" s="250"/>
      <c r="E5" s="250"/>
      <c r="F5" s="250"/>
      <c r="G5" s="250"/>
      <c r="H5" s="250"/>
      <c r="I5" s="250"/>
      <c r="J5" s="250"/>
      <c r="K5" s="250"/>
    </row>
    <row r="6" spans="1:8" ht="12.75">
      <c r="A6" s="126"/>
      <c r="B6" s="189"/>
      <c r="C6" s="189"/>
      <c r="D6" s="189"/>
      <c r="E6" s="189"/>
      <c r="F6" s="188"/>
      <c r="G6" s="188"/>
      <c r="H6" s="188"/>
    </row>
    <row r="7" spans="1:8" ht="12.75">
      <c r="A7" s="126"/>
      <c r="B7" s="2"/>
      <c r="C7" s="125" t="s">
        <v>501</v>
      </c>
      <c r="D7" s="142"/>
      <c r="E7" s="123"/>
      <c r="F7" s="123"/>
      <c r="G7" s="123"/>
      <c r="H7" s="123"/>
    </row>
    <row r="8" spans="1:4" ht="12.75">
      <c r="A8" s="128"/>
      <c r="B8" s="122"/>
      <c r="C8" s="125" t="s">
        <v>502</v>
      </c>
      <c r="D8" s="122"/>
    </row>
    <row r="9" spans="1:4" ht="12.75">
      <c r="A9" s="130"/>
      <c r="B9" s="122"/>
      <c r="C9" s="125" t="s">
        <v>483</v>
      </c>
      <c r="D9" s="122"/>
    </row>
    <row r="10" spans="1:6" ht="12.75">
      <c r="A10" s="130"/>
      <c r="B10" s="277" t="s">
        <v>480</v>
      </c>
      <c r="C10" s="277"/>
      <c r="D10" s="277"/>
      <c r="E10" s="277"/>
      <c r="F10" s="277"/>
    </row>
    <row r="11" spans="1:11" ht="51">
      <c r="A11" s="244" t="s">
        <v>75</v>
      </c>
      <c r="B11" s="245" t="s">
        <v>76</v>
      </c>
      <c r="C11" s="246" t="s">
        <v>484</v>
      </c>
      <c r="D11" s="244" t="s">
        <v>485</v>
      </c>
      <c r="E11" s="271" t="s">
        <v>503</v>
      </c>
      <c r="F11" s="272"/>
      <c r="G11" s="272"/>
      <c r="H11" s="273"/>
      <c r="I11" s="247"/>
      <c r="J11" s="248" t="s">
        <v>492</v>
      </c>
      <c r="K11" s="248" t="s">
        <v>494</v>
      </c>
    </row>
    <row r="12" spans="1:11" ht="20.25" customHeight="1">
      <c r="A12" s="211"/>
      <c r="B12" s="211" t="s">
        <v>1</v>
      </c>
      <c r="C12" s="211" t="s">
        <v>500</v>
      </c>
      <c r="D12" s="211" t="s">
        <v>486</v>
      </c>
      <c r="E12" s="274">
        <f>H13</f>
        <v>3507.6999999999994</v>
      </c>
      <c r="F12" s="275"/>
      <c r="G12" s="275"/>
      <c r="H12" s="276"/>
      <c r="I12" s="209"/>
      <c r="J12" s="210">
        <v>3507.2</v>
      </c>
      <c r="K12" s="210">
        <f>J12/E12*100</f>
        <v>99.98574564529466</v>
      </c>
    </row>
    <row r="13" spans="1:11" ht="0.75" customHeight="1" hidden="1" thickBot="1">
      <c r="A13" s="211" t="s">
        <v>0</v>
      </c>
      <c r="B13" s="211" t="s">
        <v>1</v>
      </c>
      <c r="C13" s="206">
        <v>928</v>
      </c>
      <c r="D13" s="211" t="s">
        <v>80</v>
      </c>
      <c r="E13" s="211"/>
      <c r="F13" s="206"/>
      <c r="G13" s="206"/>
      <c r="H13" s="212">
        <f>E14+E22</f>
        <v>3507.6999999999994</v>
      </c>
      <c r="I13" s="209"/>
      <c r="J13" s="210">
        <f>J14+J22</f>
        <v>3507.2</v>
      </c>
      <c r="K13" s="210">
        <f>J13/H13*100</f>
        <v>99.98574564529466</v>
      </c>
    </row>
    <row r="14" spans="1:11" ht="46.5" customHeight="1">
      <c r="A14" s="211" t="s">
        <v>2</v>
      </c>
      <c r="B14" s="211" t="s">
        <v>3</v>
      </c>
      <c r="C14" s="233" t="str">
        <f>C12</f>
        <v>01</v>
      </c>
      <c r="D14" s="234" t="s">
        <v>487</v>
      </c>
      <c r="E14" s="274">
        <f>H15</f>
        <v>1220.5</v>
      </c>
      <c r="F14" s="275"/>
      <c r="G14" s="275"/>
      <c r="H14" s="276"/>
      <c r="I14" s="209"/>
      <c r="J14" s="209">
        <f>J15</f>
        <v>1220.4</v>
      </c>
      <c r="K14" s="210">
        <f>J14/E14*100</f>
        <v>99.99180663662433</v>
      </c>
    </row>
    <row r="15" spans="1:11" ht="22.5" hidden="1">
      <c r="A15" s="211" t="s">
        <v>4</v>
      </c>
      <c r="B15" s="211" t="s">
        <v>5</v>
      </c>
      <c r="C15" s="206">
        <v>928</v>
      </c>
      <c r="D15" s="211" t="s">
        <v>79</v>
      </c>
      <c r="E15" s="211" t="s">
        <v>167</v>
      </c>
      <c r="F15" s="206"/>
      <c r="G15" s="206"/>
      <c r="H15" s="212">
        <f>H16</f>
        <v>1220.5</v>
      </c>
      <c r="I15" s="209"/>
      <c r="J15" s="209">
        <f>J16</f>
        <v>1220.4</v>
      </c>
      <c r="K15" s="210">
        <f>J15/H15*100</f>
        <v>99.99180663662433</v>
      </c>
    </row>
    <row r="16" spans="1:11" ht="41.25" customHeight="1" hidden="1" thickBot="1">
      <c r="A16" s="211" t="s">
        <v>106</v>
      </c>
      <c r="B16" s="211" t="s">
        <v>105</v>
      </c>
      <c r="C16" s="206">
        <v>928</v>
      </c>
      <c r="D16" s="211" t="s">
        <v>79</v>
      </c>
      <c r="E16" s="211" t="s">
        <v>167</v>
      </c>
      <c r="F16" s="206">
        <v>100</v>
      </c>
      <c r="G16" s="206" t="s">
        <v>82</v>
      </c>
      <c r="H16" s="212">
        <f>'НЕ УДАЛЯТЬ'!H16</f>
        <v>1220.5</v>
      </c>
      <c r="I16" s="209"/>
      <c r="J16" s="209">
        <v>1220.4</v>
      </c>
      <c r="K16" s="210">
        <f>J16/H16*100</f>
        <v>99.99180663662433</v>
      </c>
    </row>
    <row r="17" spans="1:11" ht="33.75" hidden="1">
      <c r="A17" s="211"/>
      <c r="B17" s="211" t="s">
        <v>6</v>
      </c>
      <c r="C17" s="206">
        <v>928</v>
      </c>
      <c r="D17" s="211" t="s">
        <v>79</v>
      </c>
      <c r="E17" s="211" t="s">
        <v>167</v>
      </c>
      <c r="F17" s="206">
        <v>120</v>
      </c>
      <c r="G17" s="206"/>
      <c r="H17" s="212">
        <f>H18+H20</f>
        <v>1219.1</v>
      </c>
      <c r="I17" s="209"/>
      <c r="J17" s="209"/>
      <c r="K17" s="210"/>
    </row>
    <row r="18" spans="1:11" ht="22.5" hidden="1">
      <c r="A18" s="211"/>
      <c r="B18" s="211" t="s">
        <v>210</v>
      </c>
      <c r="C18" s="206">
        <v>928</v>
      </c>
      <c r="D18" s="211" t="s">
        <v>79</v>
      </c>
      <c r="E18" s="211" t="s">
        <v>167</v>
      </c>
      <c r="F18" s="206">
        <v>121</v>
      </c>
      <c r="G18" s="206"/>
      <c r="H18" s="212">
        <f>H19</f>
        <v>942.5</v>
      </c>
      <c r="I18" s="209"/>
      <c r="J18" s="209"/>
      <c r="K18" s="210"/>
    </row>
    <row r="19" spans="1:11" ht="22.5" hidden="1">
      <c r="A19" s="211"/>
      <c r="B19" s="211" t="s">
        <v>206</v>
      </c>
      <c r="C19" s="206">
        <v>928</v>
      </c>
      <c r="D19" s="211" t="s">
        <v>79</v>
      </c>
      <c r="E19" s="211" t="s">
        <v>167</v>
      </c>
      <c r="F19" s="206">
        <v>121</v>
      </c>
      <c r="G19" s="206">
        <v>211</v>
      </c>
      <c r="H19" s="212">
        <v>942.5</v>
      </c>
      <c r="I19" s="209"/>
      <c r="J19" s="209"/>
      <c r="K19" s="210"/>
    </row>
    <row r="20" spans="1:11" ht="67.5" hidden="1">
      <c r="A20" s="211"/>
      <c r="B20" s="211" t="s">
        <v>209</v>
      </c>
      <c r="C20" s="206">
        <v>928</v>
      </c>
      <c r="D20" s="211" t="s">
        <v>79</v>
      </c>
      <c r="E20" s="211" t="s">
        <v>167</v>
      </c>
      <c r="F20" s="206">
        <v>129</v>
      </c>
      <c r="G20" s="206"/>
      <c r="H20" s="212">
        <f>H21</f>
        <v>276.6</v>
      </c>
      <c r="I20" s="209"/>
      <c r="J20" s="209"/>
      <c r="K20" s="210"/>
    </row>
    <row r="21" spans="1:11" ht="22.5" hidden="1">
      <c r="A21" s="211"/>
      <c r="B21" s="211" t="s">
        <v>207</v>
      </c>
      <c r="C21" s="206">
        <v>928</v>
      </c>
      <c r="D21" s="211" t="s">
        <v>79</v>
      </c>
      <c r="E21" s="211" t="s">
        <v>167</v>
      </c>
      <c r="F21" s="206">
        <v>129</v>
      </c>
      <c r="G21" s="206">
        <v>213</v>
      </c>
      <c r="H21" s="212">
        <f>260.6+16</f>
        <v>276.6</v>
      </c>
      <c r="I21" s="209"/>
      <c r="J21" s="209"/>
      <c r="K21" s="210"/>
    </row>
    <row r="22" spans="1:11" ht="63.75" customHeight="1">
      <c r="A22" s="211" t="s">
        <v>7</v>
      </c>
      <c r="B22" s="206" t="s">
        <v>8</v>
      </c>
      <c r="C22" s="237" t="str">
        <f>C14</f>
        <v>01</v>
      </c>
      <c r="D22" s="211" t="s">
        <v>488</v>
      </c>
      <c r="E22" s="274">
        <f>H23+H28+H45</f>
        <v>2287.1999999999994</v>
      </c>
      <c r="F22" s="275"/>
      <c r="G22" s="275"/>
      <c r="H22" s="276"/>
      <c r="I22" s="209"/>
      <c r="J22" s="210">
        <f>J23+J28+J45</f>
        <v>2286.7999999999997</v>
      </c>
      <c r="K22" s="210">
        <f>J22/E22*100</f>
        <v>99.98251136761107</v>
      </c>
    </row>
    <row r="23" spans="1:11" ht="33.75" hidden="1">
      <c r="A23" s="211" t="s">
        <v>103</v>
      </c>
      <c r="B23" s="206" t="s">
        <v>10</v>
      </c>
      <c r="C23" s="206">
        <v>928</v>
      </c>
      <c r="D23" s="211" t="s">
        <v>81</v>
      </c>
      <c r="E23" s="211" t="s">
        <v>168</v>
      </c>
      <c r="F23" s="206"/>
      <c r="G23" s="206"/>
      <c r="H23" s="212">
        <f>'НЕ УДАЛЯТЬ'!H22</f>
        <v>265.2</v>
      </c>
      <c r="I23" s="209"/>
      <c r="J23" s="210">
        <f>H23</f>
        <v>265.2</v>
      </c>
      <c r="K23" s="210">
        <f>J23/H23*100</f>
        <v>100</v>
      </c>
    </row>
    <row r="24" spans="1:11" ht="78.75" hidden="1">
      <c r="A24" s="211" t="s">
        <v>107</v>
      </c>
      <c r="B24" s="206" t="s">
        <v>105</v>
      </c>
      <c r="C24" s="206">
        <v>928</v>
      </c>
      <c r="D24" s="211" t="s">
        <v>81</v>
      </c>
      <c r="E24" s="211" t="s">
        <v>168</v>
      </c>
      <c r="F24" s="206">
        <v>100</v>
      </c>
      <c r="G24" s="206"/>
      <c r="H24" s="212">
        <f>'НЕ УДАЛЯТЬ'!H23</f>
        <v>265.2</v>
      </c>
      <c r="I24" s="209"/>
      <c r="J24" s="210">
        <f>H24</f>
        <v>265.2</v>
      </c>
      <c r="K24" s="210">
        <f>J24/H24*100</f>
        <v>100</v>
      </c>
    </row>
    <row r="25" spans="1:11" ht="33.75" hidden="1">
      <c r="A25" s="211"/>
      <c r="B25" s="211" t="s">
        <v>6</v>
      </c>
      <c r="C25" s="206">
        <v>928</v>
      </c>
      <c r="D25" s="211" t="s">
        <v>81</v>
      </c>
      <c r="E25" s="211" t="s">
        <v>168</v>
      </c>
      <c r="F25" s="206">
        <v>120</v>
      </c>
      <c r="G25" s="206"/>
      <c r="H25" s="212">
        <f>H26</f>
        <v>280.8</v>
      </c>
      <c r="I25" s="209"/>
      <c r="J25" s="209"/>
      <c r="K25" s="210"/>
    </row>
    <row r="26" spans="1:11" ht="67.5" hidden="1">
      <c r="A26" s="211"/>
      <c r="B26" s="211" t="s">
        <v>241</v>
      </c>
      <c r="C26" s="206">
        <v>928</v>
      </c>
      <c r="D26" s="211" t="s">
        <v>81</v>
      </c>
      <c r="E26" s="211" t="s">
        <v>168</v>
      </c>
      <c r="F26" s="206">
        <v>123</v>
      </c>
      <c r="G26" s="206"/>
      <c r="H26" s="212">
        <f>H27</f>
        <v>280.8</v>
      </c>
      <c r="I26" s="209"/>
      <c r="J26" s="209"/>
      <c r="K26" s="210"/>
    </row>
    <row r="27" spans="1:11" ht="22.5" hidden="1">
      <c r="A27" s="211"/>
      <c r="B27" s="211" t="s">
        <v>208</v>
      </c>
      <c r="C27" s="206">
        <v>928</v>
      </c>
      <c r="D27" s="211" t="s">
        <v>81</v>
      </c>
      <c r="E27" s="211" t="s">
        <v>168</v>
      </c>
      <c r="F27" s="206">
        <v>123</v>
      </c>
      <c r="G27" s="206">
        <v>226</v>
      </c>
      <c r="H27" s="212">
        <f>285.8-5</f>
        <v>280.8</v>
      </c>
      <c r="I27" s="209"/>
      <c r="J27" s="209"/>
      <c r="K27" s="210">
        <v>2</v>
      </c>
    </row>
    <row r="28" spans="1:11" ht="22.5" hidden="1">
      <c r="A28" s="211" t="s">
        <v>9</v>
      </c>
      <c r="B28" s="206" t="s">
        <v>12</v>
      </c>
      <c r="C28" s="206">
        <v>928</v>
      </c>
      <c r="D28" s="211" t="s">
        <v>81</v>
      </c>
      <c r="E28" s="211" t="s">
        <v>170</v>
      </c>
      <c r="F28" s="206"/>
      <c r="G28" s="206"/>
      <c r="H28" s="212">
        <f>'НЕ УДАЛЯТЬ'!H27</f>
        <v>1949.2999999999997</v>
      </c>
      <c r="I28" s="209"/>
      <c r="J28" s="209">
        <f>J29+J35</f>
        <v>1949</v>
      </c>
      <c r="K28" s="210">
        <f>J28/H28*100</f>
        <v>99.98460985994974</v>
      </c>
    </row>
    <row r="29" spans="1:11" ht="78.75" hidden="1">
      <c r="A29" s="211" t="s">
        <v>11</v>
      </c>
      <c r="B29" s="206" t="s">
        <v>105</v>
      </c>
      <c r="C29" s="206">
        <v>928</v>
      </c>
      <c r="D29" s="211" t="s">
        <v>81</v>
      </c>
      <c r="E29" s="211" t="s">
        <v>170</v>
      </c>
      <c r="F29" s="206">
        <v>100</v>
      </c>
      <c r="G29" s="206"/>
      <c r="H29" s="212">
        <f>'НЕ УДАЛЯТЬ'!H28</f>
        <v>1572.6</v>
      </c>
      <c r="I29" s="209"/>
      <c r="J29" s="209">
        <v>1572.5</v>
      </c>
      <c r="K29" s="210">
        <f>J29/H29*100</f>
        <v>99.99364110390437</v>
      </c>
    </row>
    <row r="30" spans="1:11" ht="33.75" hidden="1">
      <c r="A30" s="211"/>
      <c r="B30" s="211" t="s">
        <v>6</v>
      </c>
      <c r="C30" s="206">
        <v>928</v>
      </c>
      <c r="D30" s="211" t="s">
        <v>81</v>
      </c>
      <c r="E30" s="211" t="s">
        <v>170</v>
      </c>
      <c r="F30" s="206">
        <v>120</v>
      </c>
      <c r="G30" s="206"/>
      <c r="H30" s="212">
        <f>H31+H33</f>
        <v>1592.2</v>
      </c>
      <c r="I30" s="209"/>
      <c r="J30" s="209"/>
      <c r="K30" s="209"/>
    </row>
    <row r="31" spans="1:11" ht="22.5" hidden="1">
      <c r="A31" s="211"/>
      <c r="B31" s="211" t="s">
        <v>210</v>
      </c>
      <c r="C31" s="206">
        <v>928</v>
      </c>
      <c r="D31" s="211" t="s">
        <v>81</v>
      </c>
      <c r="E31" s="211" t="s">
        <v>170</v>
      </c>
      <c r="F31" s="206">
        <v>121</v>
      </c>
      <c r="G31" s="206"/>
      <c r="H31" s="212">
        <f>H32</f>
        <v>1166</v>
      </c>
      <c r="I31" s="209"/>
      <c r="J31" s="209"/>
      <c r="K31" s="209"/>
    </row>
    <row r="32" spans="1:11" ht="22.5" hidden="1">
      <c r="A32" s="211"/>
      <c r="B32" s="211" t="s">
        <v>206</v>
      </c>
      <c r="C32" s="206">
        <v>928</v>
      </c>
      <c r="D32" s="211" t="s">
        <v>81</v>
      </c>
      <c r="E32" s="211" t="s">
        <v>170</v>
      </c>
      <c r="F32" s="206">
        <v>121</v>
      </c>
      <c r="G32" s="206">
        <v>211</v>
      </c>
      <c r="H32" s="212">
        <f>1093.3+72.7</f>
        <v>1166</v>
      </c>
      <c r="I32" s="209"/>
      <c r="J32" s="209"/>
      <c r="K32" s="209"/>
    </row>
    <row r="33" spans="1:11" ht="67.5" hidden="1">
      <c r="A33" s="211"/>
      <c r="B33" s="211" t="s">
        <v>209</v>
      </c>
      <c r="C33" s="206">
        <v>928</v>
      </c>
      <c r="D33" s="211" t="s">
        <v>81</v>
      </c>
      <c r="E33" s="211" t="s">
        <v>170</v>
      </c>
      <c r="F33" s="206">
        <v>129</v>
      </c>
      <c r="G33" s="206"/>
      <c r="H33" s="212">
        <f>H34</f>
        <v>426.2</v>
      </c>
      <c r="I33" s="209"/>
      <c r="J33" s="209"/>
      <c r="K33" s="209"/>
    </row>
    <row r="34" spans="1:11" ht="22.5" hidden="1">
      <c r="A34" s="211"/>
      <c r="B34" s="211" t="s">
        <v>207</v>
      </c>
      <c r="C34" s="206">
        <v>928</v>
      </c>
      <c r="D34" s="211" t="s">
        <v>81</v>
      </c>
      <c r="E34" s="211" t="s">
        <v>170</v>
      </c>
      <c r="F34" s="206">
        <v>129</v>
      </c>
      <c r="G34" s="206">
        <v>213</v>
      </c>
      <c r="H34" s="212">
        <f>330.2+22+74</f>
        <v>426.2</v>
      </c>
      <c r="I34" s="209"/>
      <c r="J34" s="209"/>
      <c r="K34" s="209"/>
    </row>
    <row r="35" spans="1:11" ht="33.75" hidden="1">
      <c r="A35" s="211" t="s">
        <v>204</v>
      </c>
      <c r="B35" s="206" t="s">
        <v>24</v>
      </c>
      <c r="C35" s="206">
        <v>928</v>
      </c>
      <c r="D35" s="211" t="s">
        <v>81</v>
      </c>
      <c r="E35" s="211" t="s">
        <v>170</v>
      </c>
      <c r="F35" s="206">
        <v>200</v>
      </c>
      <c r="G35" s="206"/>
      <c r="H35" s="212">
        <f>'НЕ УДАЛЯТЬ'!H34</f>
        <v>376.69999999999993</v>
      </c>
      <c r="I35" s="209"/>
      <c r="J35" s="209">
        <v>376.5</v>
      </c>
      <c r="K35" s="209"/>
    </row>
    <row r="36" spans="1:11" ht="33.75" hidden="1">
      <c r="A36" s="211"/>
      <c r="B36" s="206" t="s">
        <v>108</v>
      </c>
      <c r="C36" s="206">
        <v>928</v>
      </c>
      <c r="D36" s="211" t="s">
        <v>81</v>
      </c>
      <c r="E36" s="211" t="s">
        <v>170</v>
      </c>
      <c r="F36" s="206">
        <v>240</v>
      </c>
      <c r="G36" s="206"/>
      <c r="H36" s="212">
        <f>H37+H39</f>
        <v>364.29999999999995</v>
      </c>
      <c r="I36" s="209"/>
      <c r="J36" s="209"/>
      <c r="K36" s="209"/>
    </row>
    <row r="37" spans="1:11" ht="33.75" hidden="1">
      <c r="A37" s="211"/>
      <c r="B37" s="206" t="s">
        <v>202</v>
      </c>
      <c r="C37" s="206">
        <v>928</v>
      </c>
      <c r="D37" s="211" t="s">
        <v>81</v>
      </c>
      <c r="E37" s="211" t="s">
        <v>170</v>
      </c>
      <c r="F37" s="206">
        <v>242</v>
      </c>
      <c r="G37" s="206"/>
      <c r="H37" s="212">
        <f>H38</f>
        <v>34</v>
      </c>
      <c r="I37" s="209"/>
      <c r="J37" s="209"/>
      <c r="K37" s="209"/>
    </row>
    <row r="38" spans="1:11" ht="22.5" hidden="1">
      <c r="A38" s="211"/>
      <c r="B38" s="206" t="s">
        <v>211</v>
      </c>
      <c r="C38" s="206">
        <v>928</v>
      </c>
      <c r="D38" s="211" t="s">
        <v>81</v>
      </c>
      <c r="E38" s="211" t="s">
        <v>170</v>
      </c>
      <c r="F38" s="206">
        <v>242</v>
      </c>
      <c r="G38" s="206">
        <v>221</v>
      </c>
      <c r="H38" s="212">
        <f>200-166</f>
        <v>34</v>
      </c>
      <c r="I38" s="209"/>
      <c r="J38" s="209"/>
      <c r="K38" s="209"/>
    </row>
    <row r="39" spans="1:11" ht="45" hidden="1">
      <c r="A39" s="211"/>
      <c r="B39" s="206" t="s">
        <v>199</v>
      </c>
      <c r="C39" s="206">
        <v>928</v>
      </c>
      <c r="D39" s="211" t="s">
        <v>81</v>
      </c>
      <c r="E39" s="211" t="s">
        <v>170</v>
      </c>
      <c r="F39" s="206">
        <v>244</v>
      </c>
      <c r="G39" s="206"/>
      <c r="H39" s="213">
        <f>H40+H41+H42+H43+H44</f>
        <v>330.29999999999995</v>
      </c>
      <c r="I39" s="209"/>
      <c r="J39" s="209"/>
      <c r="K39" s="209"/>
    </row>
    <row r="40" spans="1:11" ht="22.5" hidden="1">
      <c r="A40" s="211"/>
      <c r="B40" s="206" t="s">
        <v>212</v>
      </c>
      <c r="C40" s="206">
        <v>928</v>
      </c>
      <c r="D40" s="211" t="s">
        <v>81</v>
      </c>
      <c r="E40" s="211" t="s">
        <v>170</v>
      </c>
      <c r="F40" s="206">
        <v>244</v>
      </c>
      <c r="G40" s="206">
        <v>223</v>
      </c>
      <c r="H40" s="213">
        <f>114+21.2</f>
        <v>135.2</v>
      </c>
      <c r="I40" s="209"/>
      <c r="J40" s="209"/>
      <c r="K40" s="209"/>
    </row>
    <row r="41" spans="1:11" ht="22.5" hidden="1">
      <c r="A41" s="211"/>
      <c r="B41" s="206" t="s">
        <v>213</v>
      </c>
      <c r="C41" s="206">
        <v>928</v>
      </c>
      <c r="D41" s="211" t="s">
        <v>81</v>
      </c>
      <c r="E41" s="211" t="s">
        <v>170</v>
      </c>
      <c r="F41" s="206">
        <v>244</v>
      </c>
      <c r="G41" s="206">
        <v>225</v>
      </c>
      <c r="H41" s="213">
        <f>30+99.2</f>
        <v>129.2</v>
      </c>
      <c r="I41" s="209"/>
      <c r="J41" s="209"/>
      <c r="K41" s="209"/>
    </row>
    <row r="42" spans="1:11" ht="22.5" hidden="1">
      <c r="A42" s="211"/>
      <c r="B42" s="206" t="s">
        <v>208</v>
      </c>
      <c r="C42" s="206">
        <v>928</v>
      </c>
      <c r="D42" s="211" t="s">
        <v>81</v>
      </c>
      <c r="E42" s="211" t="s">
        <v>170</v>
      </c>
      <c r="F42" s="206">
        <v>244</v>
      </c>
      <c r="G42" s="206">
        <v>226</v>
      </c>
      <c r="H42" s="213">
        <f>56+54-45.6</f>
        <v>64.4</v>
      </c>
      <c r="I42" s="209"/>
      <c r="J42" s="209"/>
      <c r="K42" s="209"/>
    </row>
    <row r="43" spans="1:11" ht="22.5" hidden="1">
      <c r="A43" s="211"/>
      <c r="B43" s="206" t="s">
        <v>218</v>
      </c>
      <c r="C43" s="206">
        <v>928</v>
      </c>
      <c r="D43" s="211" t="s">
        <v>81</v>
      </c>
      <c r="E43" s="211" t="s">
        <v>170</v>
      </c>
      <c r="F43" s="206">
        <v>244</v>
      </c>
      <c r="G43" s="206">
        <v>310</v>
      </c>
      <c r="H43" s="213">
        <f>20-18.5</f>
        <v>1.5</v>
      </c>
      <c r="I43" s="209"/>
      <c r="J43" s="209"/>
      <c r="K43" s="209"/>
    </row>
    <row r="44" spans="1:11" ht="22.5" hidden="1">
      <c r="A44" s="211"/>
      <c r="B44" s="206" t="s">
        <v>217</v>
      </c>
      <c r="C44" s="206">
        <v>928</v>
      </c>
      <c r="D44" s="211" t="s">
        <v>81</v>
      </c>
      <c r="E44" s="211" t="s">
        <v>170</v>
      </c>
      <c r="F44" s="206">
        <v>244</v>
      </c>
      <c r="G44" s="206">
        <v>340</v>
      </c>
      <c r="H44" s="213">
        <f>100+4.5-104.5</f>
        <v>0</v>
      </c>
      <c r="I44" s="209"/>
      <c r="J44" s="209"/>
      <c r="K44" s="209">
        <v>2</v>
      </c>
    </row>
    <row r="45" spans="1:11" ht="22.5" hidden="1">
      <c r="A45" s="211" t="s">
        <v>104</v>
      </c>
      <c r="B45" s="206" t="s">
        <v>13</v>
      </c>
      <c r="C45" s="206">
        <v>928</v>
      </c>
      <c r="D45" s="211" t="s">
        <v>81</v>
      </c>
      <c r="E45" s="211" t="s">
        <v>169</v>
      </c>
      <c r="F45" s="206"/>
      <c r="G45" s="206"/>
      <c r="H45" s="212">
        <f>'НЕ УДАЛЯТЬ'!H44</f>
        <v>72.7</v>
      </c>
      <c r="I45" s="209"/>
      <c r="J45" s="210">
        <f>J46</f>
        <v>72.6</v>
      </c>
      <c r="K45" s="209"/>
    </row>
    <row r="46" spans="1:11" ht="22.5" hidden="1">
      <c r="A46" s="211" t="s">
        <v>214</v>
      </c>
      <c r="B46" s="206" t="s">
        <v>109</v>
      </c>
      <c r="C46" s="206">
        <v>928</v>
      </c>
      <c r="D46" s="211" t="s">
        <v>81</v>
      </c>
      <c r="E46" s="211" t="s">
        <v>169</v>
      </c>
      <c r="F46" s="206">
        <v>800</v>
      </c>
      <c r="G46" s="206"/>
      <c r="H46" s="212">
        <f>H47</f>
        <v>72.7</v>
      </c>
      <c r="I46" s="209"/>
      <c r="J46" s="210">
        <f>J47</f>
        <v>72.6</v>
      </c>
      <c r="K46" s="209"/>
    </row>
    <row r="47" spans="1:11" ht="22.5" hidden="1">
      <c r="A47" s="211"/>
      <c r="B47" s="206" t="s">
        <v>14</v>
      </c>
      <c r="C47" s="206">
        <v>928</v>
      </c>
      <c r="D47" s="211" t="s">
        <v>81</v>
      </c>
      <c r="E47" s="211" t="s">
        <v>169</v>
      </c>
      <c r="F47" s="206">
        <v>850</v>
      </c>
      <c r="G47" s="206"/>
      <c r="H47" s="212">
        <f>H48+H50-2.1</f>
        <v>72.7</v>
      </c>
      <c r="I47" s="209"/>
      <c r="J47" s="210">
        <v>72.6</v>
      </c>
      <c r="K47" s="209"/>
    </row>
    <row r="48" spans="1:11" ht="22.5" hidden="1">
      <c r="A48" s="211"/>
      <c r="B48" s="206" t="s">
        <v>252</v>
      </c>
      <c r="C48" s="206">
        <v>928</v>
      </c>
      <c r="D48" s="211" t="s">
        <v>81</v>
      </c>
      <c r="E48" s="211" t="s">
        <v>169</v>
      </c>
      <c r="F48" s="206">
        <v>851</v>
      </c>
      <c r="G48" s="206"/>
      <c r="H48" s="212">
        <f>H49</f>
        <v>0.5</v>
      </c>
      <c r="I48" s="209"/>
      <c r="J48" s="209"/>
      <c r="K48" s="209"/>
    </row>
    <row r="49" spans="1:11" ht="22.5" hidden="1">
      <c r="A49" s="211"/>
      <c r="B49" s="206" t="s">
        <v>203</v>
      </c>
      <c r="C49" s="206">
        <v>928</v>
      </c>
      <c r="D49" s="211" t="s">
        <v>81</v>
      </c>
      <c r="E49" s="211" t="s">
        <v>169</v>
      </c>
      <c r="F49" s="206">
        <v>851</v>
      </c>
      <c r="G49" s="206">
        <v>290</v>
      </c>
      <c r="H49" s="212">
        <v>0.5</v>
      </c>
      <c r="I49" s="209"/>
      <c r="J49" s="209"/>
      <c r="K49" s="209">
        <v>2</v>
      </c>
    </row>
    <row r="50" spans="1:11" ht="22.5" hidden="1">
      <c r="A50" s="211"/>
      <c r="B50" s="206" t="s">
        <v>215</v>
      </c>
      <c r="C50" s="206">
        <v>928</v>
      </c>
      <c r="D50" s="211" t="s">
        <v>81</v>
      </c>
      <c r="E50" s="211" t="s">
        <v>169</v>
      </c>
      <c r="F50" s="206">
        <v>853</v>
      </c>
      <c r="G50" s="206"/>
      <c r="H50" s="212">
        <f>H51</f>
        <v>74.3</v>
      </c>
      <c r="I50" s="209"/>
      <c r="J50" s="209"/>
      <c r="K50" s="209"/>
    </row>
    <row r="51" spans="1:11" ht="22.5" hidden="1">
      <c r="A51" s="211"/>
      <c r="B51" s="206" t="s">
        <v>203</v>
      </c>
      <c r="C51" s="206">
        <v>928</v>
      </c>
      <c r="D51" s="211" t="s">
        <v>81</v>
      </c>
      <c r="E51" s="211" t="s">
        <v>169</v>
      </c>
      <c r="F51" s="206">
        <v>853</v>
      </c>
      <c r="G51" s="206">
        <v>290</v>
      </c>
      <c r="H51" s="212">
        <v>74.3</v>
      </c>
      <c r="I51" s="209"/>
      <c r="J51" s="209"/>
      <c r="K51" s="209"/>
    </row>
    <row r="52" spans="1:11" ht="45" hidden="1">
      <c r="A52" s="211"/>
      <c r="B52" s="206" t="s">
        <v>263</v>
      </c>
      <c r="C52" s="206"/>
      <c r="D52" s="211"/>
      <c r="E52" s="211"/>
      <c r="F52" s="206"/>
      <c r="G52" s="206"/>
      <c r="H52" s="235">
        <f>H53+E186+E200+E268+E275+E288+E304+E314</f>
        <v>112084.72</v>
      </c>
      <c r="I52" s="209"/>
      <c r="J52" s="209"/>
      <c r="K52" s="209"/>
    </row>
    <row r="53" spans="1:11" ht="12.75" hidden="1">
      <c r="A53" s="211" t="s">
        <v>224</v>
      </c>
      <c r="B53" s="206" t="s">
        <v>1</v>
      </c>
      <c r="C53" s="206">
        <v>966</v>
      </c>
      <c r="D53" s="211" t="s">
        <v>80</v>
      </c>
      <c r="E53" s="211"/>
      <c r="F53" s="206"/>
      <c r="G53" s="206"/>
      <c r="H53" s="212">
        <f>E54+H120+E125</f>
        <v>31146.7</v>
      </c>
      <c r="I53" s="209"/>
      <c r="J53" s="210">
        <f>J54+J125</f>
        <v>31145.5</v>
      </c>
      <c r="K53" s="209"/>
    </row>
    <row r="54" spans="1:11" ht="67.5">
      <c r="A54" s="211" t="s">
        <v>15</v>
      </c>
      <c r="B54" s="206" t="s">
        <v>16</v>
      </c>
      <c r="C54" s="237" t="str">
        <f>C22</f>
        <v>01</v>
      </c>
      <c r="D54" s="211" t="s">
        <v>489</v>
      </c>
      <c r="E54" s="274">
        <f>H55+H62+H96+H101</f>
        <v>28514.2</v>
      </c>
      <c r="F54" s="275"/>
      <c r="G54" s="275"/>
      <c r="H54" s="276"/>
      <c r="I54" s="209"/>
      <c r="J54" s="210">
        <v>28513.3</v>
      </c>
      <c r="K54" s="210">
        <f>J54/E54*100</f>
        <v>99.9968436778868</v>
      </c>
    </row>
    <row r="55" spans="1:11" ht="22.5" hidden="1">
      <c r="A55" s="211" t="s">
        <v>17</v>
      </c>
      <c r="B55" s="206" t="s">
        <v>18</v>
      </c>
      <c r="C55" s="206">
        <v>966</v>
      </c>
      <c r="D55" s="211" t="s">
        <v>84</v>
      </c>
      <c r="E55" s="211" t="s">
        <v>171</v>
      </c>
      <c r="F55" s="206"/>
      <c r="G55" s="206"/>
      <c r="H55" s="212">
        <f>'НЕ УДАЛЯТЬ'!H54</f>
        <v>1175.7</v>
      </c>
      <c r="I55" s="209"/>
      <c r="J55" s="209">
        <f>J56</f>
        <v>1175.7</v>
      </c>
      <c r="K55" s="209"/>
    </row>
    <row r="56" spans="1:11" ht="78.75" hidden="1">
      <c r="A56" s="211" t="s">
        <v>19</v>
      </c>
      <c r="B56" s="206" t="s">
        <v>105</v>
      </c>
      <c r="C56" s="206">
        <v>966</v>
      </c>
      <c r="D56" s="211" t="s">
        <v>84</v>
      </c>
      <c r="E56" s="211" t="s">
        <v>171</v>
      </c>
      <c r="F56" s="206">
        <v>100</v>
      </c>
      <c r="G56" s="206"/>
      <c r="H56" s="212">
        <f>'НЕ УДАЛЯТЬ'!H55</f>
        <v>1175.7</v>
      </c>
      <c r="I56" s="209"/>
      <c r="J56" s="209">
        <v>1175.7</v>
      </c>
      <c r="K56" s="209"/>
    </row>
    <row r="57" spans="1:11" ht="33.75" hidden="1">
      <c r="A57" s="211"/>
      <c r="B57" s="211" t="s">
        <v>6</v>
      </c>
      <c r="C57" s="206">
        <v>966</v>
      </c>
      <c r="D57" s="211" t="s">
        <v>84</v>
      </c>
      <c r="E57" s="211" t="s">
        <v>171</v>
      </c>
      <c r="F57" s="206">
        <v>120</v>
      </c>
      <c r="G57" s="206"/>
      <c r="H57" s="212">
        <f>H58+H60</f>
        <v>1203.1</v>
      </c>
      <c r="I57" s="209"/>
      <c r="J57" s="209"/>
      <c r="K57" s="209"/>
    </row>
    <row r="58" spans="1:11" ht="22.5" hidden="1">
      <c r="A58" s="211"/>
      <c r="B58" s="211" t="s">
        <v>210</v>
      </c>
      <c r="C58" s="206">
        <v>966</v>
      </c>
      <c r="D58" s="211" t="s">
        <v>84</v>
      </c>
      <c r="E58" s="211" t="s">
        <v>171</v>
      </c>
      <c r="F58" s="206">
        <v>121</v>
      </c>
      <c r="G58" s="206"/>
      <c r="H58" s="212">
        <f>H59</f>
        <v>942.5</v>
      </c>
      <c r="I58" s="209"/>
      <c r="J58" s="209"/>
      <c r="K58" s="209"/>
    </row>
    <row r="59" spans="1:11" ht="22.5" hidden="1">
      <c r="A59" s="211"/>
      <c r="B59" s="211" t="s">
        <v>206</v>
      </c>
      <c r="C59" s="206">
        <v>966</v>
      </c>
      <c r="D59" s="211" t="s">
        <v>84</v>
      </c>
      <c r="E59" s="211" t="s">
        <v>171</v>
      </c>
      <c r="F59" s="206">
        <v>121</v>
      </c>
      <c r="G59" s="206">
        <v>211</v>
      </c>
      <c r="H59" s="212">
        <v>942.5</v>
      </c>
      <c r="I59" s="209"/>
      <c r="J59" s="209"/>
      <c r="K59" s="209"/>
    </row>
    <row r="60" spans="1:11" ht="67.5" hidden="1">
      <c r="A60" s="211"/>
      <c r="B60" s="211" t="s">
        <v>209</v>
      </c>
      <c r="C60" s="206">
        <v>966</v>
      </c>
      <c r="D60" s="211" t="s">
        <v>84</v>
      </c>
      <c r="E60" s="211" t="s">
        <v>171</v>
      </c>
      <c r="F60" s="206">
        <v>129</v>
      </c>
      <c r="G60" s="206"/>
      <c r="H60" s="212">
        <f>H61</f>
        <v>260.6</v>
      </c>
      <c r="I60" s="209"/>
      <c r="J60" s="209"/>
      <c r="K60" s="209"/>
    </row>
    <row r="61" spans="1:11" ht="22.5" hidden="1">
      <c r="A61" s="211"/>
      <c r="B61" s="211" t="s">
        <v>207</v>
      </c>
      <c r="C61" s="206">
        <v>966</v>
      </c>
      <c r="D61" s="211" t="s">
        <v>84</v>
      </c>
      <c r="E61" s="211" t="s">
        <v>171</v>
      </c>
      <c r="F61" s="206">
        <v>129</v>
      </c>
      <c r="G61" s="206">
        <v>213</v>
      </c>
      <c r="H61" s="212">
        <v>260.6</v>
      </c>
      <c r="I61" s="209"/>
      <c r="J61" s="209"/>
      <c r="K61" s="209"/>
    </row>
    <row r="62" spans="1:11" ht="45" hidden="1">
      <c r="A62" s="211" t="s">
        <v>20</v>
      </c>
      <c r="B62" s="206" t="s">
        <v>21</v>
      </c>
      <c r="C62" s="206">
        <v>966</v>
      </c>
      <c r="D62" s="211" t="s">
        <v>84</v>
      </c>
      <c r="E62" s="211" t="s">
        <v>172</v>
      </c>
      <c r="F62" s="206"/>
      <c r="G62" s="206"/>
      <c r="H62" s="212">
        <f>'НЕ УДАЛЯТЬ'!H61</f>
        <v>23226.3</v>
      </c>
      <c r="I62" s="209"/>
      <c r="J62" s="209">
        <f>J63+J72+J87</f>
        <v>23225.6</v>
      </c>
      <c r="K62" s="209"/>
    </row>
    <row r="63" spans="1:11" ht="78.75" hidden="1">
      <c r="A63" s="211" t="s">
        <v>22</v>
      </c>
      <c r="B63" s="206" t="s">
        <v>105</v>
      </c>
      <c r="C63" s="206">
        <v>966</v>
      </c>
      <c r="D63" s="211" t="s">
        <v>84</v>
      </c>
      <c r="E63" s="211" t="s">
        <v>172</v>
      </c>
      <c r="F63" s="206">
        <v>100</v>
      </c>
      <c r="G63" s="206"/>
      <c r="H63" s="212">
        <f>'НЕ УДАЛЯТЬ'!H62</f>
        <v>19537.2</v>
      </c>
      <c r="I63" s="209"/>
      <c r="J63" s="209">
        <v>19537</v>
      </c>
      <c r="K63" s="209"/>
    </row>
    <row r="64" spans="1:11" ht="33.75" hidden="1">
      <c r="A64" s="211"/>
      <c r="B64" s="211" t="s">
        <v>6</v>
      </c>
      <c r="C64" s="206">
        <v>966</v>
      </c>
      <c r="D64" s="211" t="s">
        <v>84</v>
      </c>
      <c r="E64" s="211" t="s">
        <v>172</v>
      </c>
      <c r="F64" s="206">
        <v>120</v>
      </c>
      <c r="G64" s="206"/>
      <c r="H64" s="212">
        <f>H65+H67+H70</f>
        <v>19987.300000000003</v>
      </c>
      <c r="I64" s="209"/>
      <c r="J64" s="209"/>
      <c r="K64" s="209"/>
    </row>
    <row r="65" spans="1:11" ht="22.5" hidden="1">
      <c r="A65" s="211"/>
      <c r="B65" s="211" t="s">
        <v>210</v>
      </c>
      <c r="C65" s="206">
        <v>966</v>
      </c>
      <c r="D65" s="211" t="s">
        <v>84</v>
      </c>
      <c r="E65" s="211" t="s">
        <v>172</v>
      </c>
      <c r="F65" s="206">
        <v>121</v>
      </c>
      <c r="G65" s="206"/>
      <c r="H65" s="212">
        <f>H66</f>
        <v>15247.4</v>
      </c>
      <c r="I65" s="209"/>
      <c r="J65" s="209"/>
      <c r="K65" s="209"/>
    </row>
    <row r="66" spans="1:11" ht="22.5" hidden="1">
      <c r="A66" s="211"/>
      <c r="B66" s="211" t="s">
        <v>206</v>
      </c>
      <c r="C66" s="206">
        <v>966</v>
      </c>
      <c r="D66" s="211" t="s">
        <v>84</v>
      </c>
      <c r="E66" s="211" t="s">
        <v>172</v>
      </c>
      <c r="F66" s="206">
        <v>121</v>
      </c>
      <c r="G66" s="206">
        <v>211</v>
      </c>
      <c r="H66" s="212">
        <f>16221.4-58.8-915.2</f>
        <v>15247.4</v>
      </c>
      <c r="I66" s="209"/>
      <c r="J66" s="209"/>
      <c r="K66" s="209"/>
    </row>
    <row r="67" spans="1:11" ht="45" hidden="1">
      <c r="A67" s="211"/>
      <c r="B67" s="211" t="s">
        <v>250</v>
      </c>
      <c r="C67" s="206">
        <v>966</v>
      </c>
      <c r="D67" s="211" t="s">
        <v>84</v>
      </c>
      <c r="E67" s="211" t="s">
        <v>172</v>
      </c>
      <c r="F67" s="206">
        <v>122</v>
      </c>
      <c r="G67" s="206"/>
      <c r="H67" s="212">
        <f>H68+H69</f>
        <v>135.2</v>
      </c>
      <c r="I67" s="209"/>
      <c r="J67" s="209"/>
      <c r="K67" s="209"/>
    </row>
    <row r="68" spans="1:11" ht="22.5" hidden="1">
      <c r="A68" s="211"/>
      <c r="B68" s="211" t="s">
        <v>249</v>
      </c>
      <c r="C68" s="206">
        <v>966</v>
      </c>
      <c r="D68" s="211" t="s">
        <v>84</v>
      </c>
      <c r="E68" s="211" t="s">
        <v>172</v>
      </c>
      <c r="F68" s="206">
        <v>122</v>
      </c>
      <c r="G68" s="206">
        <v>212</v>
      </c>
      <c r="H68" s="212">
        <v>0.1</v>
      </c>
      <c r="I68" s="209"/>
      <c r="J68" s="209"/>
      <c r="K68" s="209"/>
    </row>
    <row r="69" spans="1:11" ht="22.5" hidden="1">
      <c r="A69" s="211"/>
      <c r="B69" s="211" t="s">
        <v>216</v>
      </c>
      <c r="C69" s="206">
        <v>966</v>
      </c>
      <c r="D69" s="211" t="s">
        <v>84</v>
      </c>
      <c r="E69" s="211" t="s">
        <v>172</v>
      </c>
      <c r="F69" s="206">
        <v>122</v>
      </c>
      <c r="G69" s="206">
        <v>222</v>
      </c>
      <c r="H69" s="212">
        <f>220-84.9</f>
        <v>135.1</v>
      </c>
      <c r="I69" s="209" t="s">
        <v>251</v>
      </c>
      <c r="J69" s="209"/>
      <c r="K69" s="209"/>
    </row>
    <row r="70" spans="1:11" ht="67.5" hidden="1">
      <c r="A70" s="211"/>
      <c r="B70" s="211" t="s">
        <v>209</v>
      </c>
      <c r="C70" s="206">
        <v>966</v>
      </c>
      <c r="D70" s="211" t="s">
        <v>84</v>
      </c>
      <c r="E70" s="211" t="s">
        <v>172</v>
      </c>
      <c r="F70" s="206">
        <v>129</v>
      </c>
      <c r="G70" s="206"/>
      <c r="H70" s="212">
        <f>H71</f>
        <v>4604.700000000001</v>
      </c>
      <c r="I70" s="209"/>
      <c r="J70" s="209"/>
      <c r="K70" s="209"/>
    </row>
    <row r="71" spans="1:11" ht="22.5" hidden="1">
      <c r="A71" s="211"/>
      <c r="B71" s="211" t="s">
        <v>207</v>
      </c>
      <c r="C71" s="206">
        <v>966</v>
      </c>
      <c r="D71" s="211" t="s">
        <v>84</v>
      </c>
      <c r="E71" s="211" t="s">
        <v>172</v>
      </c>
      <c r="F71" s="206">
        <v>129</v>
      </c>
      <c r="G71" s="206">
        <v>213</v>
      </c>
      <c r="H71" s="212">
        <f>4892.5-11.4-5.2-271.2</f>
        <v>4604.700000000001</v>
      </c>
      <c r="I71" s="209"/>
      <c r="J71" s="209"/>
      <c r="K71" s="209"/>
    </row>
    <row r="72" spans="1:11" ht="33.75" hidden="1">
      <c r="A72" s="211" t="s">
        <v>23</v>
      </c>
      <c r="B72" s="206" t="s">
        <v>24</v>
      </c>
      <c r="C72" s="206">
        <v>966</v>
      </c>
      <c r="D72" s="211" t="s">
        <v>84</v>
      </c>
      <c r="E72" s="211" t="s">
        <v>172</v>
      </c>
      <c r="F72" s="206">
        <v>200</v>
      </c>
      <c r="G72" s="206"/>
      <c r="H72" s="212">
        <f>'НЕ УДАЛЯТЬ'!H71</f>
        <v>3639.3</v>
      </c>
      <c r="I72" s="209"/>
      <c r="J72" s="209">
        <v>3639</v>
      </c>
      <c r="K72" s="209"/>
    </row>
    <row r="73" spans="1:11" ht="33.75" hidden="1">
      <c r="A73" s="211"/>
      <c r="B73" s="206" t="s">
        <v>108</v>
      </c>
      <c r="C73" s="206">
        <v>966</v>
      </c>
      <c r="D73" s="211" t="s">
        <v>84</v>
      </c>
      <c r="E73" s="211" t="s">
        <v>172</v>
      </c>
      <c r="F73" s="206">
        <v>240</v>
      </c>
      <c r="G73" s="206"/>
      <c r="H73" s="212">
        <f>H74+H79</f>
        <v>4048.1000000000004</v>
      </c>
      <c r="I73" s="209"/>
      <c r="J73" s="209"/>
      <c r="K73" s="209"/>
    </row>
    <row r="74" spans="1:11" ht="33.75" hidden="1">
      <c r="A74" s="211"/>
      <c r="B74" s="206" t="s">
        <v>202</v>
      </c>
      <c r="C74" s="206">
        <v>966</v>
      </c>
      <c r="D74" s="211" t="s">
        <v>84</v>
      </c>
      <c r="E74" s="211" t="s">
        <v>172</v>
      </c>
      <c r="F74" s="206">
        <v>242</v>
      </c>
      <c r="G74" s="206"/>
      <c r="H74" s="212">
        <f>H75+H76+H77+H78</f>
        <v>806.9999999999999</v>
      </c>
      <c r="I74" s="209"/>
      <c r="J74" s="209"/>
      <c r="K74" s="209"/>
    </row>
    <row r="75" spans="1:11" ht="22.5" hidden="1">
      <c r="A75" s="211"/>
      <c r="B75" s="206" t="s">
        <v>211</v>
      </c>
      <c r="C75" s="206">
        <v>966</v>
      </c>
      <c r="D75" s="211" t="s">
        <v>84</v>
      </c>
      <c r="E75" s="211" t="s">
        <v>172</v>
      </c>
      <c r="F75" s="206">
        <v>242</v>
      </c>
      <c r="G75" s="206">
        <v>221</v>
      </c>
      <c r="H75" s="212">
        <f>188.5+174.9-37</f>
        <v>326.4</v>
      </c>
      <c r="I75" s="209"/>
      <c r="J75" s="209"/>
      <c r="K75" s="209"/>
    </row>
    <row r="76" spans="1:11" ht="22.5" hidden="1">
      <c r="A76" s="211"/>
      <c r="B76" s="206" t="s">
        <v>208</v>
      </c>
      <c r="C76" s="206">
        <v>966</v>
      </c>
      <c r="D76" s="211" t="s">
        <v>84</v>
      </c>
      <c r="E76" s="211" t="s">
        <v>172</v>
      </c>
      <c r="F76" s="206">
        <v>242</v>
      </c>
      <c r="G76" s="206">
        <v>226</v>
      </c>
      <c r="H76" s="212">
        <f>500+22-47.3</f>
        <v>474.7</v>
      </c>
      <c r="I76" s="209"/>
      <c r="J76" s="209"/>
      <c r="K76" s="209"/>
    </row>
    <row r="77" spans="1:11" ht="22.5" hidden="1">
      <c r="A77" s="211"/>
      <c r="B77" s="206" t="s">
        <v>218</v>
      </c>
      <c r="C77" s="206">
        <v>966</v>
      </c>
      <c r="D77" s="211" t="s">
        <v>84</v>
      </c>
      <c r="E77" s="211" t="s">
        <v>172</v>
      </c>
      <c r="F77" s="206">
        <v>242</v>
      </c>
      <c r="G77" s="206">
        <v>310</v>
      </c>
      <c r="H77" s="212">
        <f>50-46.2</f>
        <v>3.799999999999997</v>
      </c>
      <c r="I77" s="209"/>
      <c r="J77" s="209"/>
      <c r="K77" s="209"/>
    </row>
    <row r="78" spans="1:11" ht="22.5" hidden="1">
      <c r="A78" s="211"/>
      <c r="B78" s="206" t="s">
        <v>217</v>
      </c>
      <c r="C78" s="206">
        <v>966</v>
      </c>
      <c r="D78" s="211" t="s">
        <v>84</v>
      </c>
      <c r="E78" s="211" t="s">
        <v>172</v>
      </c>
      <c r="F78" s="206">
        <v>242</v>
      </c>
      <c r="G78" s="206">
        <v>340</v>
      </c>
      <c r="H78" s="212">
        <f>100-97.9</f>
        <v>2.0999999999999943</v>
      </c>
      <c r="I78" s="209"/>
      <c r="J78" s="209"/>
      <c r="K78" s="209"/>
    </row>
    <row r="79" spans="1:11" ht="45" hidden="1">
      <c r="A79" s="211"/>
      <c r="B79" s="206" t="s">
        <v>199</v>
      </c>
      <c r="C79" s="206">
        <v>966</v>
      </c>
      <c r="D79" s="211" t="s">
        <v>84</v>
      </c>
      <c r="E79" s="211" t="s">
        <v>172</v>
      </c>
      <c r="F79" s="206">
        <v>244</v>
      </c>
      <c r="G79" s="206"/>
      <c r="H79" s="212">
        <f>SUM(H80:H86)</f>
        <v>3241.1000000000004</v>
      </c>
      <c r="I79" s="209"/>
      <c r="J79" s="209"/>
      <c r="K79" s="209"/>
    </row>
    <row r="80" spans="1:11" ht="22.5" hidden="1">
      <c r="A80" s="211"/>
      <c r="B80" s="206" t="s">
        <v>211</v>
      </c>
      <c r="C80" s="206">
        <v>966</v>
      </c>
      <c r="D80" s="211" t="s">
        <v>84</v>
      </c>
      <c r="E80" s="211" t="s">
        <v>172</v>
      </c>
      <c r="F80" s="206">
        <v>244</v>
      </c>
      <c r="G80" s="206">
        <v>221</v>
      </c>
      <c r="H80" s="212">
        <f>161+439-100-136.5</f>
        <v>363.5</v>
      </c>
      <c r="I80" s="209"/>
      <c r="J80" s="209"/>
      <c r="K80" s="209"/>
    </row>
    <row r="81" spans="1:11" ht="22.5" hidden="1">
      <c r="A81" s="211"/>
      <c r="B81" s="206" t="s">
        <v>216</v>
      </c>
      <c r="C81" s="206">
        <v>966</v>
      </c>
      <c r="D81" s="211" t="s">
        <v>84</v>
      </c>
      <c r="E81" s="211" t="s">
        <v>172</v>
      </c>
      <c r="F81" s="206">
        <v>244</v>
      </c>
      <c r="G81" s="206">
        <v>222</v>
      </c>
      <c r="H81" s="212">
        <f>290.6+29.4-220-88</f>
        <v>12</v>
      </c>
      <c r="I81" s="209" t="s">
        <v>251</v>
      </c>
      <c r="J81" s="209"/>
      <c r="K81" s="209"/>
    </row>
    <row r="82" spans="1:11" ht="22.5" hidden="1">
      <c r="A82" s="211"/>
      <c r="B82" s="206" t="s">
        <v>212</v>
      </c>
      <c r="C82" s="206">
        <v>966</v>
      </c>
      <c r="D82" s="211" t="s">
        <v>84</v>
      </c>
      <c r="E82" s="211" t="s">
        <v>172</v>
      </c>
      <c r="F82" s="206">
        <v>244</v>
      </c>
      <c r="G82" s="206">
        <v>223</v>
      </c>
      <c r="H82" s="212">
        <f>100-50</f>
        <v>50</v>
      </c>
      <c r="I82" s="209"/>
      <c r="J82" s="209"/>
      <c r="K82" s="209"/>
    </row>
    <row r="83" spans="1:11" ht="22.5" hidden="1">
      <c r="A83" s="211"/>
      <c r="B83" s="206" t="s">
        <v>213</v>
      </c>
      <c r="C83" s="206">
        <v>966</v>
      </c>
      <c r="D83" s="211" t="s">
        <v>84</v>
      </c>
      <c r="E83" s="211" t="s">
        <v>172</v>
      </c>
      <c r="F83" s="206">
        <v>244</v>
      </c>
      <c r="G83" s="206">
        <v>225</v>
      </c>
      <c r="H83" s="212">
        <f>98.4+100.1+1000+68.4+100</f>
        <v>1366.9</v>
      </c>
      <c r="I83" s="209"/>
      <c r="J83" s="209"/>
      <c r="K83" s="209">
        <v>2</v>
      </c>
    </row>
    <row r="84" spans="1:11" ht="22.5" hidden="1">
      <c r="A84" s="211"/>
      <c r="B84" s="206" t="s">
        <v>208</v>
      </c>
      <c r="C84" s="206">
        <v>966</v>
      </c>
      <c r="D84" s="211" t="s">
        <v>84</v>
      </c>
      <c r="E84" s="211" t="s">
        <v>172</v>
      </c>
      <c r="F84" s="206">
        <v>244</v>
      </c>
      <c r="G84" s="206">
        <v>226</v>
      </c>
      <c r="H84" s="212">
        <f>922.4-492.9-39.7</f>
        <v>389.8</v>
      </c>
      <c r="I84" s="209"/>
      <c r="J84" s="209"/>
      <c r="K84" s="209"/>
    </row>
    <row r="85" spans="1:11" ht="22.5" hidden="1">
      <c r="A85" s="211"/>
      <c r="B85" s="206" t="s">
        <v>218</v>
      </c>
      <c r="C85" s="206">
        <v>966</v>
      </c>
      <c r="D85" s="211" t="s">
        <v>84</v>
      </c>
      <c r="E85" s="211" t="s">
        <v>172</v>
      </c>
      <c r="F85" s="206">
        <v>244</v>
      </c>
      <c r="G85" s="206">
        <v>310</v>
      </c>
      <c r="H85" s="212">
        <f>202.4-172.4+3430.1-25.6-300-190-200-2000-68.4-515</f>
        <v>161.10000000000002</v>
      </c>
      <c r="I85" s="209"/>
      <c r="J85" s="209"/>
      <c r="K85" s="209">
        <v>2</v>
      </c>
    </row>
    <row r="86" spans="1:11" ht="22.5" hidden="1">
      <c r="A86" s="211"/>
      <c r="B86" s="206" t="s">
        <v>217</v>
      </c>
      <c r="C86" s="206">
        <v>966</v>
      </c>
      <c r="D86" s="211" t="s">
        <v>84</v>
      </c>
      <c r="E86" s="211" t="s">
        <v>172</v>
      </c>
      <c r="F86" s="206">
        <v>244</v>
      </c>
      <c r="G86" s="206">
        <v>340</v>
      </c>
      <c r="H86" s="212">
        <f>224.2+165.8+200+237.8+70</f>
        <v>897.8</v>
      </c>
      <c r="I86" s="209"/>
      <c r="J86" s="209"/>
      <c r="K86" s="209"/>
    </row>
    <row r="87" spans="1:11" ht="22.5" hidden="1">
      <c r="A87" s="211" t="s">
        <v>223</v>
      </c>
      <c r="B87" s="206" t="s">
        <v>109</v>
      </c>
      <c r="C87" s="206">
        <v>966</v>
      </c>
      <c r="D87" s="211" t="s">
        <v>84</v>
      </c>
      <c r="E87" s="211" t="s">
        <v>172</v>
      </c>
      <c r="F87" s="206">
        <v>800</v>
      </c>
      <c r="G87" s="206"/>
      <c r="H87" s="212">
        <f>'НЕ УДАЛЯТЬ'!H86</f>
        <v>49.800000000000004</v>
      </c>
      <c r="I87" s="209"/>
      <c r="J87" s="209">
        <v>49.6</v>
      </c>
      <c r="K87" s="209"/>
    </row>
    <row r="88" spans="1:11" ht="22.5" hidden="1">
      <c r="A88" s="211"/>
      <c r="B88" s="209" t="s">
        <v>97</v>
      </c>
      <c r="C88" s="206">
        <v>966</v>
      </c>
      <c r="D88" s="211" t="s">
        <v>84</v>
      </c>
      <c r="E88" s="211" t="s">
        <v>172</v>
      </c>
      <c r="F88" s="206">
        <v>830</v>
      </c>
      <c r="G88" s="206"/>
      <c r="H88" s="212">
        <f>H89</f>
        <v>100</v>
      </c>
      <c r="I88" s="209"/>
      <c r="J88" s="209"/>
      <c r="K88" s="209"/>
    </row>
    <row r="89" spans="1:11" ht="123.75" hidden="1">
      <c r="A89" s="211"/>
      <c r="B89" s="215" t="s">
        <v>205</v>
      </c>
      <c r="C89" s="206">
        <v>966</v>
      </c>
      <c r="D89" s="211" t="s">
        <v>84</v>
      </c>
      <c r="E89" s="211" t="s">
        <v>172</v>
      </c>
      <c r="F89" s="206">
        <v>831</v>
      </c>
      <c r="G89" s="206"/>
      <c r="H89" s="212">
        <f>H90</f>
        <v>100</v>
      </c>
      <c r="I89" s="209"/>
      <c r="J89" s="209"/>
      <c r="K89" s="209"/>
    </row>
    <row r="90" spans="1:11" ht="22.5" hidden="1">
      <c r="A90" s="211"/>
      <c r="B90" s="206" t="s">
        <v>203</v>
      </c>
      <c r="C90" s="206">
        <v>966</v>
      </c>
      <c r="D90" s="211" t="s">
        <v>84</v>
      </c>
      <c r="E90" s="211" t="s">
        <v>172</v>
      </c>
      <c r="F90" s="206">
        <v>831</v>
      </c>
      <c r="G90" s="206">
        <v>290</v>
      </c>
      <c r="H90" s="212">
        <v>100</v>
      </c>
      <c r="I90" s="209"/>
      <c r="J90" s="209"/>
      <c r="K90" s="209"/>
    </row>
    <row r="91" spans="1:11" ht="22.5" hidden="1">
      <c r="A91" s="211" t="s">
        <v>231</v>
      </c>
      <c r="B91" s="206" t="s">
        <v>14</v>
      </c>
      <c r="C91" s="206">
        <v>966</v>
      </c>
      <c r="D91" s="211" t="s">
        <v>84</v>
      </c>
      <c r="E91" s="211" t="s">
        <v>172</v>
      </c>
      <c r="F91" s="206">
        <v>850</v>
      </c>
      <c r="G91" s="206"/>
      <c r="H91" s="212">
        <f>H94+H92</f>
        <v>2.3</v>
      </c>
      <c r="I91" s="209"/>
      <c r="J91" s="209"/>
      <c r="K91" s="209"/>
    </row>
    <row r="92" spans="1:11" ht="22.5" hidden="1">
      <c r="A92" s="211"/>
      <c r="B92" s="206" t="s">
        <v>252</v>
      </c>
      <c r="C92" s="206">
        <v>966</v>
      </c>
      <c r="D92" s="211" t="s">
        <v>84</v>
      </c>
      <c r="E92" s="211" t="s">
        <v>172</v>
      </c>
      <c r="F92" s="206">
        <v>851</v>
      </c>
      <c r="G92" s="206"/>
      <c r="H92" s="212">
        <f>H93</f>
        <v>0.3</v>
      </c>
      <c r="I92" s="209"/>
      <c r="J92" s="209"/>
      <c r="K92" s="209"/>
    </row>
    <row r="93" spans="1:11" ht="22.5" hidden="1">
      <c r="A93" s="211"/>
      <c r="B93" s="206" t="s">
        <v>203</v>
      </c>
      <c r="C93" s="206">
        <v>966</v>
      </c>
      <c r="D93" s="211" t="s">
        <v>84</v>
      </c>
      <c r="E93" s="211" t="s">
        <v>172</v>
      </c>
      <c r="F93" s="206">
        <v>851</v>
      </c>
      <c r="G93" s="206">
        <v>290</v>
      </c>
      <c r="H93" s="212">
        <v>0.3</v>
      </c>
      <c r="I93" s="209"/>
      <c r="J93" s="209"/>
      <c r="K93" s="209">
        <v>2</v>
      </c>
    </row>
    <row r="94" spans="1:11" ht="22.5" hidden="1">
      <c r="A94" s="211"/>
      <c r="B94" s="215" t="s">
        <v>215</v>
      </c>
      <c r="C94" s="206">
        <v>966</v>
      </c>
      <c r="D94" s="211" t="s">
        <v>84</v>
      </c>
      <c r="E94" s="211" t="s">
        <v>172</v>
      </c>
      <c r="F94" s="206">
        <v>853</v>
      </c>
      <c r="G94" s="206"/>
      <c r="H94" s="212">
        <f>H95</f>
        <v>2</v>
      </c>
      <c r="I94" s="209"/>
      <c r="J94" s="209"/>
      <c r="K94" s="209"/>
    </row>
    <row r="95" spans="1:11" ht="22.5" hidden="1">
      <c r="A95" s="211"/>
      <c r="B95" s="206" t="s">
        <v>203</v>
      </c>
      <c r="C95" s="206">
        <v>966</v>
      </c>
      <c r="D95" s="211" t="s">
        <v>84</v>
      </c>
      <c r="E95" s="211" t="s">
        <v>172</v>
      </c>
      <c r="F95" s="206">
        <v>853</v>
      </c>
      <c r="G95" s="206">
        <v>290</v>
      </c>
      <c r="H95" s="213">
        <f>1+1</f>
        <v>2</v>
      </c>
      <c r="I95" s="209"/>
      <c r="J95" s="209"/>
      <c r="K95" s="209"/>
    </row>
    <row r="96" spans="1:11" ht="67.5" hidden="1">
      <c r="A96" s="211" t="s">
        <v>225</v>
      </c>
      <c r="B96" s="216" t="s">
        <v>131</v>
      </c>
      <c r="C96" s="206">
        <v>966</v>
      </c>
      <c r="D96" s="211" t="s">
        <v>84</v>
      </c>
      <c r="E96" s="211" t="s">
        <v>228</v>
      </c>
      <c r="F96" s="206"/>
      <c r="G96" s="206"/>
      <c r="H96" s="212">
        <f>'НЕ УДАЛЯТЬ'!H95</f>
        <v>6</v>
      </c>
      <c r="I96" s="209"/>
      <c r="J96" s="209">
        <f>J97</f>
        <v>6</v>
      </c>
      <c r="K96" s="209"/>
    </row>
    <row r="97" spans="1:11" ht="33.75" hidden="1">
      <c r="A97" s="211" t="s">
        <v>226</v>
      </c>
      <c r="B97" s="206" t="s">
        <v>24</v>
      </c>
      <c r="C97" s="206">
        <v>966</v>
      </c>
      <c r="D97" s="211" t="s">
        <v>84</v>
      </c>
      <c r="E97" s="211" t="s">
        <v>228</v>
      </c>
      <c r="F97" s="206">
        <v>200</v>
      </c>
      <c r="G97" s="206"/>
      <c r="H97" s="212">
        <f>H98</f>
        <v>6</v>
      </c>
      <c r="I97" s="209"/>
      <c r="J97" s="209">
        <v>6</v>
      </c>
      <c r="K97" s="209"/>
    </row>
    <row r="98" spans="1:11" ht="33.75" hidden="1">
      <c r="A98" s="211"/>
      <c r="B98" s="206" t="s">
        <v>108</v>
      </c>
      <c r="C98" s="206">
        <v>966</v>
      </c>
      <c r="D98" s="211" t="s">
        <v>84</v>
      </c>
      <c r="E98" s="211" t="s">
        <v>228</v>
      </c>
      <c r="F98" s="206">
        <v>240</v>
      </c>
      <c r="G98" s="206"/>
      <c r="H98" s="212">
        <f>H99</f>
        <v>6</v>
      </c>
      <c r="I98" s="209"/>
      <c r="J98" s="209"/>
      <c r="K98" s="209"/>
    </row>
    <row r="99" spans="1:11" ht="45" hidden="1">
      <c r="A99" s="211"/>
      <c r="B99" s="206" t="s">
        <v>199</v>
      </c>
      <c r="C99" s="206">
        <v>966</v>
      </c>
      <c r="D99" s="211" t="s">
        <v>84</v>
      </c>
      <c r="E99" s="211" t="s">
        <v>228</v>
      </c>
      <c r="F99" s="206">
        <v>244</v>
      </c>
      <c r="G99" s="206"/>
      <c r="H99" s="212">
        <f>H100</f>
        <v>6</v>
      </c>
      <c r="I99" s="209"/>
      <c r="J99" s="209"/>
      <c r="K99" s="209"/>
    </row>
    <row r="100" spans="1:11" ht="22.5" hidden="1">
      <c r="A100" s="211"/>
      <c r="B100" s="206" t="s">
        <v>217</v>
      </c>
      <c r="C100" s="206">
        <v>966</v>
      </c>
      <c r="D100" s="211" t="s">
        <v>84</v>
      </c>
      <c r="E100" s="211" t="s">
        <v>228</v>
      </c>
      <c r="F100" s="206">
        <v>244</v>
      </c>
      <c r="G100" s="206">
        <v>340</v>
      </c>
      <c r="H100" s="212">
        <v>6</v>
      </c>
      <c r="I100" s="209"/>
      <c r="J100" s="209"/>
      <c r="K100" s="209"/>
    </row>
    <row r="101" spans="1:11" ht="78.75" hidden="1">
      <c r="A101" s="211" t="s">
        <v>95</v>
      </c>
      <c r="B101" s="206" t="s">
        <v>124</v>
      </c>
      <c r="C101" s="206"/>
      <c r="D101" s="211" t="s">
        <v>84</v>
      </c>
      <c r="E101" s="211" t="s">
        <v>229</v>
      </c>
      <c r="F101" s="206"/>
      <c r="G101" s="206"/>
      <c r="H101" s="212">
        <f>'НЕ УДАЛЯТЬ'!H100</f>
        <v>4106.2</v>
      </c>
      <c r="I101" s="209"/>
      <c r="J101" s="210">
        <f>J102+J111</f>
        <v>4106.2</v>
      </c>
      <c r="K101" s="209"/>
    </row>
    <row r="102" spans="1:11" ht="78.75" hidden="1">
      <c r="A102" s="211" t="s">
        <v>96</v>
      </c>
      <c r="B102" s="206" t="s">
        <v>105</v>
      </c>
      <c r="C102" s="206">
        <v>966</v>
      </c>
      <c r="D102" s="211" t="s">
        <v>84</v>
      </c>
      <c r="E102" s="211" t="s">
        <v>229</v>
      </c>
      <c r="F102" s="206">
        <v>100</v>
      </c>
      <c r="G102" s="206"/>
      <c r="H102" s="212">
        <f>'НЕ УДАЛЯТЬ'!H101</f>
        <v>3875</v>
      </c>
      <c r="I102" s="209"/>
      <c r="J102" s="210">
        <f>H102</f>
        <v>3875</v>
      </c>
      <c r="K102" s="209"/>
    </row>
    <row r="103" spans="1:11" ht="33.75" hidden="1">
      <c r="A103" s="211"/>
      <c r="B103" s="211" t="s">
        <v>6</v>
      </c>
      <c r="C103" s="206">
        <v>966</v>
      </c>
      <c r="D103" s="211" t="s">
        <v>84</v>
      </c>
      <c r="E103" s="211" t="s">
        <v>229</v>
      </c>
      <c r="F103" s="206">
        <v>120</v>
      </c>
      <c r="G103" s="206"/>
      <c r="H103" s="212">
        <f>H104+H106+H109</f>
        <v>3888.5</v>
      </c>
      <c r="I103" s="209"/>
      <c r="J103" s="209"/>
      <c r="K103" s="209"/>
    </row>
    <row r="104" spans="1:11" ht="22.5" hidden="1">
      <c r="A104" s="211"/>
      <c r="B104" s="211" t="s">
        <v>210</v>
      </c>
      <c r="C104" s="206">
        <v>966</v>
      </c>
      <c r="D104" s="211" t="s">
        <v>84</v>
      </c>
      <c r="E104" s="211" t="s">
        <v>229</v>
      </c>
      <c r="F104" s="206">
        <v>121</v>
      </c>
      <c r="G104" s="206"/>
      <c r="H104" s="212">
        <f>H105</f>
        <v>2940.6</v>
      </c>
      <c r="I104" s="209"/>
      <c r="J104" s="209"/>
      <c r="K104" s="209"/>
    </row>
    <row r="105" spans="1:11" ht="22.5" hidden="1">
      <c r="A105" s="211"/>
      <c r="B105" s="211" t="s">
        <v>206</v>
      </c>
      <c r="C105" s="206">
        <v>966</v>
      </c>
      <c r="D105" s="211" t="s">
        <v>84</v>
      </c>
      <c r="E105" s="211" t="s">
        <v>229</v>
      </c>
      <c r="F105" s="206">
        <v>121</v>
      </c>
      <c r="G105" s="206">
        <v>211</v>
      </c>
      <c r="H105" s="212">
        <v>2940.6</v>
      </c>
      <c r="I105" s="209"/>
      <c r="J105" s="209"/>
      <c r="K105" s="209"/>
    </row>
    <row r="106" spans="1:11" ht="45" hidden="1">
      <c r="A106" s="211"/>
      <c r="B106" s="211" t="s">
        <v>250</v>
      </c>
      <c r="C106" s="206">
        <v>966</v>
      </c>
      <c r="D106" s="211" t="s">
        <v>84</v>
      </c>
      <c r="E106" s="211" t="s">
        <v>229</v>
      </c>
      <c r="F106" s="206">
        <v>122</v>
      </c>
      <c r="G106" s="206"/>
      <c r="H106" s="212">
        <f>SUM(H107:H108)</f>
        <v>59.800000000000004</v>
      </c>
      <c r="I106" s="209" t="s">
        <v>251</v>
      </c>
      <c r="J106" s="209"/>
      <c r="K106" s="209"/>
    </row>
    <row r="107" spans="1:11" ht="22.5" hidden="1">
      <c r="A107" s="211"/>
      <c r="B107" s="211" t="s">
        <v>249</v>
      </c>
      <c r="C107" s="206">
        <v>966</v>
      </c>
      <c r="D107" s="211" t="s">
        <v>84</v>
      </c>
      <c r="E107" s="211" t="s">
        <v>229</v>
      </c>
      <c r="F107" s="206">
        <v>122</v>
      </c>
      <c r="G107" s="206">
        <v>212</v>
      </c>
      <c r="H107" s="212">
        <v>0.2</v>
      </c>
      <c r="I107" s="209" t="s">
        <v>251</v>
      </c>
      <c r="J107" s="209"/>
      <c r="K107" s="209"/>
    </row>
    <row r="108" spans="1:11" ht="22.5" hidden="1">
      <c r="A108" s="211"/>
      <c r="B108" s="211" t="s">
        <v>216</v>
      </c>
      <c r="C108" s="206">
        <v>966</v>
      </c>
      <c r="D108" s="211" t="s">
        <v>84</v>
      </c>
      <c r="E108" s="211" t="s">
        <v>229</v>
      </c>
      <c r="F108" s="206">
        <v>122</v>
      </c>
      <c r="G108" s="206">
        <v>222</v>
      </c>
      <c r="H108" s="212">
        <f>80-20.4</f>
        <v>59.6</v>
      </c>
      <c r="I108" s="209" t="s">
        <v>251</v>
      </c>
      <c r="J108" s="209"/>
      <c r="K108" s="209"/>
    </row>
    <row r="109" spans="1:11" ht="67.5" hidden="1">
      <c r="A109" s="211"/>
      <c r="B109" s="211" t="s">
        <v>209</v>
      </c>
      <c r="C109" s="206">
        <v>966</v>
      </c>
      <c r="D109" s="211" t="s">
        <v>84</v>
      </c>
      <c r="E109" s="211" t="s">
        <v>229</v>
      </c>
      <c r="F109" s="206">
        <v>129</v>
      </c>
      <c r="G109" s="206"/>
      <c r="H109" s="212">
        <f>H110</f>
        <v>888.1</v>
      </c>
      <c r="I109" s="209"/>
      <c r="J109" s="209"/>
      <c r="K109" s="209"/>
    </row>
    <row r="110" spans="1:11" ht="22.5" hidden="1">
      <c r="A110" s="211"/>
      <c r="B110" s="211" t="s">
        <v>207</v>
      </c>
      <c r="C110" s="206">
        <v>966</v>
      </c>
      <c r="D110" s="211" t="s">
        <v>84</v>
      </c>
      <c r="E110" s="211" t="s">
        <v>229</v>
      </c>
      <c r="F110" s="206">
        <v>129</v>
      </c>
      <c r="G110" s="206">
        <v>213</v>
      </c>
      <c r="H110" s="212">
        <v>888.1</v>
      </c>
      <c r="I110" s="209"/>
      <c r="J110" s="209"/>
      <c r="K110" s="209"/>
    </row>
    <row r="111" spans="1:11" ht="38.25" customHeight="1" hidden="1" thickBot="1">
      <c r="A111" s="211" t="s">
        <v>227</v>
      </c>
      <c r="B111" s="206" t="s">
        <v>24</v>
      </c>
      <c r="C111" s="206">
        <v>966</v>
      </c>
      <c r="D111" s="211" t="s">
        <v>84</v>
      </c>
      <c r="E111" s="211" t="s">
        <v>229</v>
      </c>
      <c r="F111" s="206">
        <v>200</v>
      </c>
      <c r="G111" s="206"/>
      <c r="H111" s="212">
        <f>'НЕ УДАЛЯТЬ'!H110</f>
        <v>231.2</v>
      </c>
      <c r="I111" s="209"/>
      <c r="J111" s="210">
        <f>H111</f>
        <v>231.2</v>
      </c>
      <c r="K111" s="209"/>
    </row>
    <row r="112" spans="1:11" ht="33.75" hidden="1">
      <c r="A112" s="211"/>
      <c r="B112" s="206" t="s">
        <v>108</v>
      </c>
      <c r="C112" s="206">
        <v>966</v>
      </c>
      <c r="D112" s="211" t="s">
        <v>84</v>
      </c>
      <c r="E112" s="211" t="s">
        <v>229</v>
      </c>
      <c r="F112" s="206">
        <v>240</v>
      </c>
      <c r="G112" s="206"/>
      <c r="H112" s="212">
        <f>H113+H115</f>
        <v>217.7</v>
      </c>
      <c r="I112" s="209"/>
      <c r="J112" s="209"/>
      <c r="K112" s="209"/>
    </row>
    <row r="113" spans="1:11" ht="33.75" hidden="1">
      <c r="A113" s="211"/>
      <c r="B113" s="206" t="s">
        <v>202</v>
      </c>
      <c r="C113" s="206">
        <v>966</v>
      </c>
      <c r="D113" s="211" t="s">
        <v>84</v>
      </c>
      <c r="E113" s="211" t="s">
        <v>229</v>
      </c>
      <c r="F113" s="206">
        <v>242</v>
      </c>
      <c r="G113" s="206"/>
      <c r="H113" s="213">
        <f>SUM(H114:H114)</f>
        <v>90</v>
      </c>
      <c r="I113" s="209"/>
      <c r="J113" s="209"/>
      <c r="K113" s="209"/>
    </row>
    <row r="114" spans="1:11" ht="22.5" hidden="1">
      <c r="A114" s="211"/>
      <c r="B114" s="206" t="s">
        <v>211</v>
      </c>
      <c r="C114" s="206">
        <v>966</v>
      </c>
      <c r="D114" s="211" t="s">
        <v>84</v>
      </c>
      <c r="E114" s="211" t="s">
        <v>229</v>
      </c>
      <c r="F114" s="206">
        <v>242</v>
      </c>
      <c r="G114" s="206">
        <v>221</v>
      </c>
      <c r="H114" s="213">
        <f>87+3</f>
        <v>90</v>
      </c>
      <c r="I114" s="209"/>
      <c r="J114" s="209"/>
      <c r="K114" s="209"/>
    </row>
    <row r="115" spans="1:11" ht="45" hidden="1">
      <c r="A115" s="211"/>
      <c r="B115" s="206" t="s">
        <v>199</v>
      </c>
      <c r="C115" s="206">
        <v>966</v>
      </c>
      <c r="D115" s="211" t="s">
        <v>84</v>
      </c>
      <c r="E115" s="211" t="s">
        <v>229</v>
      </c>
      <c r="F115" s="206">
        <v>244</v>
      </c>
      <c r="G115" s="206"/>
      <c r="H115" s="213">
        <f>SUM(H116:H119)</f>
        <v>127.7</v>
      </c>
      <c r="I115" s="209"/>
      <c r="J115" s="209"/>
      <c r="K115" s="209"/>
    </row>
    <row r="116" spans="1:11" ht="22.5" hidden="1">
      <c r="A116" s="211"/>
      <c r="B116" s="206" t="s">
        <v>211</v>
      </c>
      <c r="C116" s="206">
        <v>966</v>
      </c>
      <c r="D116" s="211" t="s">
        <v>84</v>
      </c>
      <c r="E116" s="211" t="s">
        <v>229</v>
      </c>
      <c r="F116" s="206">
        <v>244</v>
      </c>
      <c r="G116" s="206">
        <v>221</v>
      </c>
      <c r="H116" s="213">
        <v>0</v>
      </c>
      <c r="I116" s="209"/>
      <c r="J116" s="209"/>
      <c r="K116" s="209"/>
    </row>
    <row r="117" spans="1:11" ht="22.5" hidden="1">
      <c r="A117" s="211"/>
      <c r="B117" s="206" t="s">
        <v>216</v>
      </c>
      <c r="C117" s="206">
        <v>966</v>
      </c>
      <c r="D117" s="211" t="s">
        <v>84</v>
      </c>
      <c r="E117" s="211" t="s">
        <v>229</v>
      </c>
      <c r="F117" s="206">
        <v>244</v>
      </c>
      <c r="G117" s="206">
        <v>222</v>
      </c>
      <c r="H117" s="213">
        <f>80-80</f>
        <v>0</v>
      </c>
      <c r="I117" s="209" t="s">
        <v>251</v>
      </c>
      <c r="J117" s="209"/>
      <c r="K117" s="209"/>
    </row>
    <row r="118" spans="1:11" ht="22.5" hidden="1">
      <c r="A118" s="211"/>
      <c r="B118" s="206" t="s">
        <v>208</v>
      </c>
      <c r="C118" s="206">
        <v>966</v>
      </c>
      <c r="D118" s="211" t="s">
        <v>84</v>
      </c>
      <c r="E118" s="211" t="s">
        <v>229</v>
      </c>
      <c r="F118" s="206">
        <v>244</v>
      </c>
      <c r="G118" s="206">
        <v>226</v>
      </c>
      <c r="H118" s="213">
        <v>0.7</v>
      </c>
      <c r="I118" s="209"/>
      <c r="J118" s="209"/>
      <c r="K118" s="209"/>
    </row>
    <row r="119" spans="1:11" ht="22.5" hidden="1">
      <c r="A119" s="211"/>
      <c r="B119" s="206" t="s">
        <v>217</v>
      </c>
      <c r="C119" s="206">
        <v>966</v>
      </c>
      <c r="D119" s="211" t="s">
        <v>84</v>
      </c>
      <c r="E119" s="211" t="s">
        <v>229</v>
      </c>
      <c r="F119" s="206">
        <v>244</v>
      </c>
      <c r="G119" s="206">
        <v>340</v>
      </c>
      <c r="H119" s="213">
        <f>10.6+20.4+96.9-0.2-0.7</f>
        <v>127</v>
      </c>
      <c r="I119" s="209"/>
      <c r="J119" s="209"/>
      <c r="K119" s="209"/>
    </row>
    <row r="120" spans="1:11" ht="12.75" hidden="1">
      <c r="A120" s="211" t="s">
        <v>25</v>
      </c>
      <c r="B120" s="206" t="s">
        <v>26</v>
      </c>
      <c r="C120" s="206">
        <v>966</v>
      </c>
      <c r="D120" s="211" t="s">
        <v>85</v>
      </c>
      <c r="E120" s="211"/>
      <c r="F120" s="206"/>
      <c r="G120" s="206"/>
      <c r="H120" s="212">
        <f>H121</f>
        <v>2.3092638912203256E-14</v>
      </c>
      <c r="I120" s="209"/>
      <c r="J120" s="209"/>
      <c r="K120" s="209"/>
    </row>
    <row r="121" spans="1:11" ht="22.5" hidden="1">
      <c r="A121" s="211" t="s">
        <v>94</v>
      </c>
      <c r="B121" s="209" t="s">
        <v>27</v>
      </c>
      <c r="C121" s="206">
        <v>966</v>
      </c>
      <c r="D121" s="211" t="s">
        <v>85</v>
      </c>
      <c r="E121" s="211" t="s">
        <v>173</v>
      </c>
      <c r="F121" s="206"/>
      <c r="G121" s="206"/>
      <c r="H121" s="212">
        <f>H122</f>
        <v>2.3092638912203256E-14</v>
      </c>
      <c r="I121" s="209"/>
      <c r="J121" s="209"/>
      <c r="K121" s="209"/>
    </row>
    <row r="122" spans="1:11" ht="22.5" hidden="1">
      <c r="A122" s="211" t="s">
        <v>28</v>
      </c>
      <c r="B122" s="209" t="s">
        <v>109</v>
      </c>
      <c r="C122" s="206">
        <v>966</v>
      </c>
      <c r="D122" s="211" t="s">
        <v>85</v>
      </c>
      <c r="E122" s="211" t="s">
        <v>173</v>
      </c>
      <c r="F122" s="206">
        <v>800</v>
      </c>
      <c r="G122" s="206"/>
      <c r="H122" s="212">
        <f>'НЕ УДАЛЯТЬ'!H121</f>
        <v>2.3092638912203256E-14</v>
      </c>
      <c r="I122" s="209"/>
      <c r="J122" s="209"/>
      <c r="K122" s="209"/>
    </row>
    <row r="123" spans="1:11" ht="22.5" hidden="1">
      <c r="A123" s="211"/>
      <c r="B123" s="206" t="s">
        <v>29</v>
      </c>
      <c r="C123" s="206">
        <v>966</v>
      </c>
      <c r="D123" s="211" t="s">
        <v>85</v>
      </c>
      <c r="E123" s="211" t="s">
        <v>173</v>
      </c>
      <c r="F123" s="206">
        <v>870</v>
      </c>
      <c r="G123" s="206"/>
      <c r="H123" s="212">
        <f>H124</f>
        <v>12.600000000000023</v>
      </c>
      <c r="I123" s="209"/>
      <c r="J123" s="209"/>
      <c r="K123" s="209"/>
    </row>
    <row r="124" spans="1:11" ht="22.5" hidden="1">
      <c r="A124" s="211"/>
      <c r="B124" s="206" t="s">
        <v>203</v>
      </c>
      <c r="C124" s="206">
        <v>966</v>
      </c>
      <c r="D124" s="211" t="s">
        <v>85</v>
      </c>
      <c r="E124" s="211" t="s">
        <v>173</v>
      </c>
      <c r="F124" s="206">
        <v>870</v>
      </c>
      <c r="G124" s="206">
        <v>290</v>
      </c>
      <c r="H124" s="212">
        <f>100+190-277.4</f>
        <v>12.600000000000023</v>
      </c>
      <c r="I124" s="209"/>
      <c r="J124" s="209"/>
      <c r="K124" s="209"/>
    </row>
    <row r="125" spans="1:11" ht="18.75" customHeight="1">
      <c r="A125" s="211" t="s">
        <v>25</v>
      </c>
      <c r="B125" s="206" t="s">
        <v>13</v>
      </c>
      <c r="C125" s="237" t="str">
        <f>C54</f>
        <v>01</v>
      </c>
      <c r="D125" s="211" t="s">
        <v>490</v>
      </c>
      <c r="E125" s="274">
        <f>H126+H131+H137+H142+H149+H156+H163+H169+H174+H179</f>
        <v>2632.5</v>
      </c>
      <c r="F125" s="275"/>
      <c r="G125" s="275"/>
      <c r="H125" s="276"/>
      <c r="I125" s="209"/>
      <c r="J125" s="210">
        <v>2632.2</v>
      </c>
      <c r="K125" s="210">
        <f>K186</f>
        <v>100</v>
      </c>
    </row>
    <row r="126" spans="1:11" ht="67.5" hidden="1">
      <c r="A126" s="211" t="s">
        <v>31</v>
      </c>
      <c r="B126" s="206" t="s">
        <v>115</v>
      </c>
      <c r="C126" s="206">
        <v>966</v>
      </c>
      <c r="D126" s="211" t="s">
        <v>83</v>
      </c>
      <c r="E126" s="211" t="s">
        <v>174</v>
      </c>
      <c r="F126" s="206"/>
      <c r="G126" s="206"/>
      <c r="H126" s="212">
        <f>H127</f>
        <v>0</v>
      </c>
      <c r="I126" s="209"/>
      <c r="J126" s="209"/>
      <c r="K126" s="209"/>
    </row>
    <row r="127" spans="1:11" ht="33.75" hidden="1">
      <c r="A127" s="211" t="s">
        <v>32</v>
      </c>
      <c r="B127" s="206" t="s">
        <v>24</v>
      </c>
      <c r="C127" s="206">
        <v>966</v>
      </c>
      <c r="D127" s="211" t="s">
        <v>83</v>
      </c>
      <c r="E127" s="211" t="s">
        <v>174</v>
      </c>
      <c r="F127" s="206">
        <v>200</v>
      </c>
      <c r="G127" s="206"/>
      <c r="H127" s="212">
        <f>H128</f>
        <v>0</v>
      </c>
      <c r="I127" s="209"/>
      <c r="J127" s="209"/>
      <c r="K127" s="209"/>
    </row>
    <row r="128" spans="1:11" ht="33.75" hidden="1">
      <c r="A128" s="211"/>
      <c r="B128" s="206" t="s">
        <v>108</v>
      </c>
      <c r="C128" s="206">
        <v>966</v>
      </c>
      <c r="D128" s="211" t="s">
        <v>83</v>
      </c>
      <c r="E128" s="211" t="s">
        <v>174</v>
      </c>
      <c r="F128" s="206">
        <v>240</v>
      </c>
      <c r="G128" s="206"/>
      <c r="H128" s="212">
        <f>H129</f>
        <v>0</v>
      </c>
      <c r="I128" s="209"/>
      <c r="J128" s="209"/>
      <c r="K128" s="209"/>
    </row>
    <row r="129" spans="1:11" ht="45" hidden="1">
      <c r="A129" s="211"/>
      <c r="B129" s="206" t="s">
        <v>199</v>
      </c>
      <c r="C129" s="206">
        <v>966</v>
      </c>
      <c r="D129" s="211" t="s">
        <v>83</v>
      </c>
      <c r="E129" s="211" t="s">
        <v>174</v>
      </c>
      <c r="F129" s="206">
        <v>244</v>
      </c>
      <c r="G129" s="206"/>
      <c r="H129" s="212">
        <f>H130</f>
        <v>0</v>
      </c>
      <c r="I129" s="209"/>
      <c r="J129" s="209"/>
      <c r="K129" s="209"/>
    </row>
    <row r="130" spans="1:11" ht="22.5" hidden="1">
      <c r="A130" s="211"/>
      <c r="B130" s="206" t="s">
        <v>208</v>
      </c>
      <c r="C130" s="206">
        <v>966</v>
      </c>
      <c r="D130" s="211" t="s">
        <v>83</v>
      </c>
      <c r="E130" s="211" t="s">
        <v>174</v>
      </c>
      <c r="F130" s="206">
        <v>244</v>
      </c>
      <c r="G130" s="206">
        <v>226</v>
      </c>
      <c r="H130" s="212">
        <f>100-100</f>
        <v>0</v>
      </c>
      <c r="I130" s="209"/>
      <c r="J130" s="209">
        <v>1</v>
      </c>
      <c r="K130" s="209"/>
    </row>
    <row r="131" spans="1:11" ht="90" hidden="1">
      <c r="A131" s="211" t="s">
        <v>94</v>
      </c>
      <c r="B131" s="206" t="s">
        <v>121</v>
      </c>
      <c r="C131" s="206">
        <v>966</v>
      </c>
      <c r="D131" s="211" t="s">
        <v>83</v>
      </c>
      <c r="E131" s="211" t="s">
        <v>175</v>
      </c>
      <c r="F131" s="206"/>
      <c r="G131" s="206"/>
      <c r="H131" s="212">
        <f>'НЕ УДАЛЯТЬ'!H130</f>
        <v>4.7</v>
      </c>
      <c r="I131" s="209"/>
      <c r="J131" s="209">
        <f>J132</f>
        <v>4.6</v>
      </c>
      <c r="K131" s="209"/>
    </row>
    <row r="132" spans="1:11" ht="33.75" hidden="1">
      <c r="A132" s="211" t="s">
        <v>28</v>
      </c>
      <c r="B132" s="206" t="s">
        <v>24</v>
      </c>
      <c r="C132" s="206">
        <v>966</v>
      </c>
      <c r="D132" s="211" t="s">
        <v>83</v>
      </c>
      <c r="E132" s="211" t="s">
        <v>175</v>
      </c>
      <c r="F132" s="206">
        <v>200</v>
      </c>
      <c r="G132" s="206"/>
      <c r="H132" s="212">
        <f>'НЕ УДАЛЯТЬ'!H131</f>
        <v>4.7</v>
      </c>
      <c r="I132" s="209"/>
      <c r="J132" s="209">
        <v>4.6</v>
      </c>
      <c r="K132" s="209"/>
    </row>
    <row r="133" spans="1:11" ht="33.75" hidden="1">
      <c r="A133" s="211"/>
      <c r="B133" s="206" t="s">
        <v>108</v>
      </c>
      <c r="C133" s="206">
        <v>966</v>
      </c>
      <c r="D133" s="211" t="s">
        <v>83</v>
      </c>
      <c r="E133" s="211" t="s">
        <v>175</v>
      </c>
      <c r="F133" s="206">
        <v>240</v>
      </c>
      <c r="G133" s="206"/>
      <c r="H133" s="212">
        <f>H134</f>
        <v>4.7</v>
      </c>
      <c r="I133" s="209"/>
      <c r="J133" s="209"/>
      <c r="K133" s="209"/>
    </row>
    <row r="134" spans="1:11" ht="45" hidden="1">
      <c r="A134" s="211"/>
      <c r="B134" s="206" t="s">
        <v>199</v>
      </c>
      <c r="C134" s="206">
        <v>966</v>
      </c>
      <c r="D134" s="211" t="s">
        <v>83</v>
      </c>
      <c r="E134" s="211" t="s">
        <v>175</v>
      </c>
      <c r="F134" s="206">
        <v>244</v>
      </c>
      <c r="G134" s="206"/>
      <c r="H134" s="212">
        <f>H136+H135</f>
        <v>4.7</v>
      </c>
      <c r="I134" s="209"/>
      <c r="J134" s="209"/>
      <c r="K134" s="209"/>
    </row>
    <row r="135" spans="1:11" ht="22.5" hidden="1">
      <c r="A135" s="211"/>
      <c r="B135" s="206" t="s">
        <v>208</v>
      </c>
      <c r="C135" s="206">
        <v>966</v>
      </c>
      <c r="D135" s="211" t="s">
        <v>83</v>
      </c>
      <c r="E135" s="211" t="s">
        <v>175</v>
      </c>
      <c r="F135" s="206">
        <v>244</v>
      </c>
      <c r="G135" s="206">
        <v>226</v>
      </c>
      <c r="H135" s="212">
        <f>100-100</f>
        <v>0</v>
      </c>
      <c r="I135" s="209"/>
      <c r="J135" s="209"/>
      <c r="K135" s="209"/>
    </row>
    <row r="136" spans="1:11" ht="22.5" hidden="1">
      <c r="A136" s="211"/>
      <c r="B136" s="206" t="s">
        <v>217</v>
      </c>
      <c r="C136" s="206">
        <v>966</v>
      </c>
      <c r="D136" s="211" t="s">
        <v>83</v>
      </c>
      <c r="E136" s="211" t="s">
        <v>175</v>
      </c>
      <c r="F136" s="206">
        <v>244</v>
      </c>
      <c r="G136" s="206">
        <v>340</v>
      </c>
      <c r="H136" s="212">
        <f>6-1.3</f>
        <v>4.7</v>
      </c>
      <c r="I136" s="209"/>
      <c r="J136" s="209"/>
      <c r="K136" s="209"/>
    </row>
    <row r="137" spans="1:11" ht="67.5" hidden="1">
      <c r="A137" s="211" t="s">
        <v>464</v>
      </c>
      <c r="B137" s="206" t="s">
        <v>120</v>
      </c>
      <c r="C137" s="206">
        <v>966</v>
      </c>
      <c r="D137" s="211" t="s">
        <v>83</v>
      </c>
      <c r="E137" s="211" t="s">
        <v>176</v>
      </c>
      <c r="F137" s="206"/>
      <c r="G137" s="206"/>
      <c r="H137" s="212">
        <f>'НЕ УДАЛЯТЬ'!H136</f>
        <v>90</v>
      </c>
      <c r="I137" s="209"/>
      <c r="J137" s="209">
        <f>J138</f>
        <v>90</v>
      </c>
      <c r="K137" s="209"/>
    </row>
    <row r="138" spans="1:11" ht="33.75" hidden="1">
      <c r="A138" s="211" t="s">
        <v>465</v>
      </c>
      <c r="B138" s="206" t="s">
        <v>24</v>
      </c>
      <c r="C138" s="206">
        <v>966</v>
      </c>
      <c r="D138" s="211" t="s">
        <v>83</v>
      </c>
      <c r="E138" s="211" t="s">
        <v>176</v>
      </c>
      <c r="F138" s="206">
        <v>200</v>
      </c>
      <c r="G138" s="206"/>
      <c r="H138" s="212">
        <f>'НЕ УДАЛЯТЬ'!H137</f>
        <v>90</v>
      </c>
      <c r="I138" s="209"/>
      <c r="J138" s="209">
        <v>90</v>
      </c>
      <c r="K138" s="209"/>
    </row>
    <row r="139" spans="1:11" ht="33.75" hidden="1">
      <c r="A139" s="211"/>
      <c r="B139" s="206" t="s">
        <v>108</v>
      </c>
      <c r="C139" s="206">
        <v>966</v>
      </c>
      <c r="D139" s="211" t="s">
        <v>83</v>
      </c>
      <c r="E139" s="211" t="s">
        <v>176</v>
      </c>
      <c r="F139" s="206">
        <v>240</v>
      </c>
      <c r="G139" s="206"/>
      <c r="H139" s="212">
        <f>H140</f>
        <v>90</v>
      </c>
      <c r="I139" s="209"/>
      <c r="J139" s="209"/>
      <c r="K139" s="209"/>
    </row>
    <row r="140" spans="1:11" ht="45" hidden="1">
      <c r="A140" s="211"/>
      <c r="B140" s="206" t="s">
        <v>199</v>
      </c>
      <c r="C140" s="206">
        <v>966</v>
      </c>
      <c r="D140" s="211" t="s">
        <v>83</v>
      </c>
      <c r="E140" s="211" t="s">
        <v>176</v>
      </c>
      <c r="F140" s="206">
        <v>244</v>
      </c>
      <c r="G140" s="217"/>
      <c r="H140" s="212">
        <f>H141</f>
        <v>90</v>
      </c>
      <c r="I140" s="209"/>
      <c r="J140" s="209"/>
      <c r="K140" s="209"/>
    </row>
    <row r="141" spans="1:11" ht="22.5" hidden="1">
      <c r="A141" s="211"/>
      <c r="B141" s="206" t="s">
        <v>203</v>
      </c>
      <c r="C141" s="206">
        <v>966</v>
      </c>
      <c r="D141" s="211" t="s">
        <v>83</v>
      </c>
      <c r="E141" s="211" t="s">
        <v>176</v>
      </c>
      <c r="F141" s="206">
        <v>244</v>
      </c>
      <c r="G141" s="206">
        <v>290</v>
      </c>
      <c r="H141" s="212">
        <f>140+378.5-500+71.5</f>
        <v>90</v>
      </c>
      <c r="I141" s="209"/>
      <c r="J141" s="209"/>
      <c r="K141" s="209"/>
    </row>
    <row r="142" spans="1:11" ht="33.75" hidden="1">
      <c r="A142" s="211" t="s">
        <v>466</v>
      </c>
      <c r="B142" s="206" t="s">
        <v>114</v>
      </c>
      <c r="C142" s="206">
        <v>966</v>
      </c>
      <c r="D142" s="211" t="s">
        <v>83</v>
      </c>
      <c r="E142" s="211" t="s">
        <v>192</v>
      </c>
      <c r="F142" s="206"/>
      <c r="G142" s="206"/>
      <c r="H142" s="212">
        <f>'НЕ УДАЛЯТЬ'!H141</f>
        <v>651.8</v>
      </c>
      <c r="I142" s="209"/>
      <c r="J142" s="210">
        <f>J143</f>
        <v>651.8</v>
      </c>
      <c r="K142" s="209"/>
    </row>
    <row r="143" spans="1:11" ht="33.75" hidden="1">
      <c r="A143" s="211" t="s">
        <v>467</v>
      </c>
      <c r="B143" s="206" t="s">
        <v>24</v>
      </c>
      <c r="C143" s="206">
        <v>966</v>
      </c>
      <c r="D143" s="211" t="s">
        <v>83</v>
      </c>
      <c r="E143" s="211" t="s">
        <v>192</v>
      </c>
      <c r="F143" s="206">
        <v>200</v>
      </c>
      <c r="G143" s="206"/>
      <c r="H143" s="212">
        <f>'НЕ УДАЛЯТЬ'!H142</f>
        <v>651.8</v>
      </c>
      <c r="I143" s="209"/>
      <c r="J143" s="210">
        <f>H143</f>
        <v>651.8</v>
      </c>
      <c r="K143" s="209"/>
    </row>
    <row r="144" spans="1:11" ht="33.75" hidden="1">
      <c r="A144" s="211"/>
      <c r="B144" s="206" t="s">
        <v>108</v>
      </c>
      <c r="C144" s="206">
        <v>966</v>
      </c>
      <c r="D144" s="211" t="s">
        <v>83</v>
      </c>
      <c r="E144" s="211" t="s">
        <v>192</v>
      </c>
      <c r="F144" s="206">
        <v>240</v>
      </c>
      <c r="G144" s="206"/>
      <c r="H144" s="212">
        <f>H145</f>
        <v>651.8</v>
      </c>
      <c r="I144" s="209"/>
      <c r="J144" s="209"/>
      <c r="K144" s="209"/>
    </row>
    <row r="145" spans="1:11" ht="45" hidden="1">
      <c r="A145" s="211"/>
      <c r="B145" s="206" t="s">
        <v>199</v>
      </c>
      <c r="C145" s="206">
        <v>966</v>
      </c>
      <c r="D145" s="211" t="s">
        <v>83</v>
      </c>
      <c r="E145" s="211" t="s">
        <v>192</v>
      </c>
      <c r="F145" s="206">
        <v>244</v>
      </c>
      <c r="G145" s="206"/>
      <c r="H145" s="212">
        <f>H146+H148+H147</f>
        <v>651.8</v>
      </c>
      <c r="I145" s="209"/>
      <c r="J145" s="209"/>
      <c r="K145" s="209"/>
    </row>
    <row r="146" spans="1:11" ht="22.5" hidden="1">
      <c r="A146" s="211"/>
      <c r="B146" s="206" t="s">
        <v>208</v>
      </c>
      <c r="C146" s="206">
        <v>966</v>
      </c>
      <c r="D146" s="211" t="s">
        <v>83</v>
      </c>
      <c r="E146" s="211" t="s">
        <v>192</v>
      </c>
      <c r="F146" s="206">
        <v>244</v>
      </c>
      <c r="G146" s="206">
        <v>226</v>
      </c>
      <c r="H146" s="212">
        <f>270-270</f>
        <v>0</v>
      </c>
      <c r="I146" s="209"/>
      <c r="J146" s="209"/>
      <c r="K146" s="209">
        <v>33</v>
      </c>
    </row>
    <row r="147" spans="1:11" ht="22.5" hidden="1">
      <c r="A147" s="211"/>
      <c r="B147" s="206" t="s">
        <v>218</v>
      </c>
      <c r="C147" s="206">
        <v>966</v>
      </c>
      <c r="D147" s="211" t="s">
        <v>83</v>
      </c>
      <c r="E147" s="211" t="s">
        <v>192</v>
      </c>
      <c r="F147" s="206">
        <v>244</v>
      </c>
      <c r="G147" s="206">
        <v>310</v>
      </c>
      <c r="H147" s="212">
        <f>647-348</f>
        <v>299</v>
      </c>
      <c r="I147" s="209"/>
      <c r="J147" s="209"/>
      <c r="K147" s="209">
        <v>33</v>
      </c>
    </row>
    <row r="148" spans="1:11" ht="22.5" hidden="1">
      <c r="A148" s="211"/>
      <c r="B148" s="206" t="s">
        <v>217</v>
      </c>
      <c r="C148" s="206">
        <v>966</v>
      </c>
      <c r="D148" s="211" t="s">
        <v>83</v>
      </c>
      <c r="E148" s="211" t="s">
        <v>192</v>
      </c>
      <c r="F148" s="206">
        <v>244</v>
      </c>
      <c r="G148" s="206">
        <v>340</v>
      </c>
      <c r="H148" s="212">
        <f>353-0.2</f>
        <v>352.8</v>
      </c>
      <c r="I148" s="209"/>
      <c r="J148" s="209">
        <v>1</v>
      </c>
      <c r="K148" s="209">
        <v>33</v>
      </c>
    </row>
    <row r="149" spans="1:11" ht="112.5" hidden="1">
      <c r="A149" s="211" t="s">
        <v>468</v>
      </c>
      <c r="B149" s="206" t="s">
        <v>119</v>
      </c>
      <c r="C149" s="206">
        <v>966</v>
      </c>
      <c r="D149" s="211" t="s">
        <v>83</v>
      </c>
      <c r="E149" s="211" t="s">
        <v>177</v>
      </c>
      <c r="F149" s="206"/>
      <c r="G149" s="206"/>
      <c r="H149" s="212">
        <f>H150</f>
        <v>94.3</v>
      </c>
      <c r="I149" s="209"/>
      <c r="J149" s="209">
        <f>J150</f>
        <v>94.2</v>
      </c>
      <c r="K149" s="209"/>
    </row>
    <row r="150" spans="1:11" ht="33.75" hidden="1">
      <c r="A150" s="211" t="s">
        <v>469</v>
      </c>
      <c r="B150" s="206" t="s">
        <v>24</v>
      </c>
      <c r="C150" s="206">
        <v>966</v>
      </c>
      <c r="D150" s="211" t="s">
        <v>83</v>
      </c>
      <c r="E150" s="211" t="s">
        <v>177</v>
      </c>
      <c r="F150" s="206">
        <v>200</v>
      </c>
      <c r="G150" s="206"/>
      <c r="H150" s="212">
        <f>'НЕ УДАЛЯТЬ'!H149</f>
        <v>94.3</v>
      </c>
      <c r="I150" s="209"/>
      <c r="J150" s="209">
        <v>94.2</v>
      </c>
      <c r="K150" s="209"/>
    </row>
    <row r="151" spans="1:11" ht="33.75" hidden="1">
      <c r="A151" s="211"/>
      <c r="B151" s="206" t="s">
        <v>108</v>
      </c>
      <c r="C151" s="206">
        <v>966</v>
      </c>
      <c r="D151" s="211" t="s">
        <v>83</v>
      </c>
      <c r="E151" s="211" t="s">
        <v>177</v>
      </c>
      <c r="F151" s="206">
        <v>240</v>
      </c>
      <c r="G151" s="206"/>
      <c r="H151" s="212">
        <f>H152</f>
        <v>94.3</v>
      </c>
      <c r="I151" s="209"/>
      <c r="J151" s="209"/>
      <c r="K151" s="209"/>
    </row>
    <row r="152" spans="1:11" ht="45" hidden="1">
      <c r="A152" s="211"/>
      <c r="B152" s="206" t="s">
        <v>199</v>
      </c>
      <c r="C152" s="206">
        <v>966</v>
      </c>
      <c r="D152" s="211" t="s">
        <v>83</v>
      </c>
      <c r="E152" s="211" t="s">
        <v>177</v>
      </c>
      <c r="F152" s="206">
        <v>244</v>
      </c>
      <c r="G152" s="206"/>
      <c r="H152" s="212">
        <f>H155+H154</f>
        <v>94.3</v>
      </c>
      <c r="I152" s="209"/>
      <c r="J152" s="209"/>
      <c r="K152" s="209"/>
    </row>
    <row r="153" spans="1:11" ht="22.5" hidden="1">
      <c r="A153" s="211"/>
      <c r="B153" s="206" t="s">
        <v>208</v>
      </c>
      <c r="C153" s="206">
        <v>966</v>
      </c>
      <c r="D153" s="211" t="s">
        <v>83</v>
      </c>
      <c r="E153" s="211" t="s">
        <v>177</v>
      </c>
      <c r="F153" s="206">
        <v>244</v>
      </c>
      <c r="G153" s="206">
        <v>226</v>
      </c>
      <c r="H153" s="212">
        <f>100-100</f>
        <v>0</v>
      </c>
      <c r="I153" s="209"/>
      <c r="J153" s="209"/>
      <c r="K153" s="209"/>
    </row>
    <row r="154" spans="1:11" ht="22.5" hidden="1">
      <c r="A154" s="211"/>
      <c r="B154" s="206" t="s">
        <v>203</v>
      </c>
      <c r="C154" s="206">
        <v>966</v>
      </c>
      <c r="D154" s="211" t="s">
        <v>83</v>
      </c>
      <c r="E154" s="211" t="s">
        <v>177</v>
      </c>
      <c r="F154" s="206">
        <v>244</v>
      </c>
      <c r="G154" s="206">
        <v>290</v>
      </c>
      <c r="H154" s="212">
        <f>100-10</f>
        <v>90</v>
      </c>
      <c r="I154" s="209"/>
      <c r="J154" s="209"/>
      <c r="K154" s="209"/>
    </row>
    <row r="155" spans="1:11" ht="22.5" hidden="1">
      <c r="A155" s="211"/>
      <c r="B155" s="206" t="s">
        <v>217</v>
      </c>
      <c r="C155" s="206">
        <v>966</v>
      </c>
      <c r="D155" s="211" t="s">
        <v>83</v>
      </c>
      <c r="E155" s="211" t="s">
        <v>177</v>
      </c>
      <c r="F155" s="206">
        <v>244</v>
      </c>
      <c r="G155" s="206">
        <v>340</v>
      </c>
      <c r="H155" s="212">
        <f>5.5-1.2</f>
        <v>4.3</v>
      </c>
      <c r="I155" s="209"/>
      <c r="J155" s="209">
        <v>1</v>
      </c>
      <c r="K155" s="209"/>
    </row>
    <row r="156" spans="1:11" ht="56.25" hidden="1">
      <c r="A156" s="211" t="s">
        <v>470</v>
      </c>
      <c r="B156" s="206" t="s">
        <v>118</v>
      </c>
      <c r="C156" s="206">
        <v>966</v>
      </c>
      <c r="D156" s="211" t="s">
        <v>83</v>
      </c>
      <c r="E156" s="211" t="s">
        <v>230</v>
      </c>
      <c r="F156" s="206"/>
      <c r="G156" s="206"/>
      <c r="H156" s="212">
        <f>H157</f>
        <v>94.2</v>
      </c>
      <c r="I156" s="209"/>
      <c r="J156" s="209">
        <f>J157</f>
        <v>94.2</v>
      </c>
      <c r="K156" s="209"/>
    </row>
    <row r="157" spans="1:11" ht="33.75" hidden="1">
      <c r="A157" s="211" t="s">
        <v>471</v>
      </c>
      <c r="B157" s="206" t="s">
        <v>24</v>
      </c>
      <c r="C157" s="206">
        <v>966</v>
      </c>
      <c r="D157" s="211" t="s">
        <v>83</v>
      </c>
      <c r="E157" s="211" t="s">
        <v>230</v>
      </c>
      <c r="F157" s="206">
        <v>200</v>
      </c>
      <c r="G157" s="206"/>
      <c r="H157" s="212">
        <f>'НЕ УДАЛЯТЬ'!H156</f>
        <v>94.2</v>
      </c>
      <c r="I157" s="209"/>
      <c r="J157" s="209">
        <v>94.2</v>
      </c>
      <c r="K157" s="209"/>
    </row>
    <row r="158" spans="1:11" ht="33.75" hidden="1">
      <c r="A158" s="211"/>
      <c r="B158" s="206" t="s">
        <v>108</v>
      </c>
      <c r="C158" s="206">
        <v>966</v>
      </c>
      <c r="D158" s="211" t="s">
        <v>83</v>
      </c>
      <c r="E158" s="211" t="s">
        <v>230</v>
      </c>
      <c r="F158" s="206">
        <v>240</v>
      </c>
      <c r="G158" s="206"/>
      <c r="H158" s="212">
        <f>H159</f>
        <v>94.2</v>
      </c>
      <c r="I158" s="209"/>
      <c r="J158" s="209"/>
      <c r="K158" s="209"/>
    </row>
    <row r="159" spans="1:11" ht="45" hidden="1">
      <c r="A159" s="211"/>
      <c r="B159" s="206" t="s">
        <v>199</v>
      </c>
      <c r="C159" s="206">
        <v>966</v>
      </c>
      <c r="D159" s="211" t="s">
        <v>83</v>
      </c>
      <c r="E159" s="211" t="s">
        <v>230</v>
      </c>
      <c r="F159" s="206">
        <v>244</v>
      </c>
      <c r="G159" s="206"/>
      <c r="H159" s="212">
        <f>SUM(H161:H162)</f>
        <v>94.2</v>
      </c>
      <c r="I159" s="209"/>
      <c r="J159" s="209"/>
      <c r="K159" s="209"/>
    </row>
    <row r="160" spans="1:11" ht="22.5" hidden="1">
      <c r="A160" s="211"/>
      <c r="B160" s="206" t="s">
        <v>208</v>
      </c>
      <c r="C160" s="206">
        <v>966</v>
      </c>
      <c r="D160" s="211" t="s">
        <v>83</v>
      </c>
      <c r="E160" s="211" t="s">
        <v>230</v>
      </c>
      <c r="F160" s="206">
        <v>244</v>
      </c>
      <c r="G160" s="206">
        <v>226</v>
      </c>
      <c r="H160" s="212">
        <f>90-90</f>
        <v>0</v>
      </c>
      <c r="I160" s="209"/>
      <c r="J160" s="209">
        <v>1</v>
      </c>
      <c r="K160" s="209"/>
    </row>
    <row r="161" spans="1:11" ht="22.5" hidden="1">
      <c r="A161" s="211"/>
      <c r="B161" s="206" t="s">
        <v>203</v>
      </c>
      <c r="C161" s="206">
        <v>966</v>
      </c>
      <c r="D161" s="211" t="s">
        <v>83</v>
      </c>
      <c r="E161" s="211" t="s">
        <v>230</v>
      </c>
      <c r="F161" s="206">
        <v>244</v>
      </c>
      <c r="G161" s="206">
        <v>290</v>
      </c>
      <c r="H161" s="212">
        <v>90</v>
      </c>
      <c r="I161" s="209"/>
      <c r="J161" s="209">
        <v>1</v>
      </c>
      <c r="K161" s="209"/>
    </row>
    <row r="162" spans="1:11" ht="22.5" hidden="1">
      <c r="A162" s="211"/>
      <c r="B162" s="206" t="s">
        <v>217</v>
      </c>
      <c r="C162" s="206">
        <v>966</v>
      </c>
      <c r="D162" s="211" t="s">
        <v>83</v>
      </c>
      <c r="E162" s="211" t="s">
        <v>230</v>
      </c>
      <c r="F162" s="206">
        <v>244</v>
      </c>
      <c r="G162" s="206">
        <v>340</v>
      </c>
      <c r="H162" s="212">
        <f>5.5-1.3</f>
        <v>4.2</v>
      </c>
      <c r="I162" s="209"/>
      <c r="J162" s="209">
        <v>1</v>
      </c>
      <c r="K162" s="209"/>
    </row>
    <row r="163" spans="1:11" ht="84" customHeight="1" hidden="1" thickBot="1">
      <c r="A163" s="211" t="s">
        <v>472</v>
      </c>
      <c r="B163" s="206" t="s">
        <v>117</v>
      </c>
      <c r="C163" s="206">
        <v>966</v>
      </c>
      <c r="D163" s="211" t="s">
        <v>83</v>
      </c>
      <c r="E163" s="211" t="s">
        <v>178</v>
      </c>
      <c r="F163" s="206"/>
      <c r="G163" s="206"/>
      <c r="H163" s="212">
        <f>H164</f>
        <v>94.2</v>
      </c>
      <c r="I163" s="209"/>
      <c r="J163" s="209">
        <f>J164</f>
        <v>94.1</v>
      </c>
      <c r="K163" s="209"/>
    </row>
    <row r="164" spans="1:11" ht="33.75" hidden="1">
      <c r="A164" s="211" t="s">
        <v>473</v>
      </c>
      <c r="B164" s="206" t="s">
        <v>24</v>
      </c>
      <c r="C164" s="206">
        <v>966</v>
      </c>
      <c r="D164" s="211" t="s">
        <v>83</v>
      </c>
      <c r="E164" s="211" t="s">
        <v>178</v>
      </c>
      <c r="F164" s="206">
        <v>200</v>
      </c>
      <c r="G164" s="206"/>
      <c r="H164" s="212">
        <f>'НЕ УДАЛЯТЬ'!H163</f>
        <v>94.2</v>
      </c>
      <c r="I164" s="209"/>
      <c r="J164" s="209">
        <v>94.1</v>
      </c>
      <c r="K164" s="209"/>
    </row>
    <row r="165" spans="1:11" ht="33.75" hidden="1">
      <c r="A165" s="211"/>
      <c r="B165" s="206" t="s">
        <v>108</v>
      </c>
      <c r="C165" s="206">
        <v>966</v>
      </c>
      <c r="D165" s="211" t="s">
        <v>83</v>
      </c>
      <c r="E165" s="211" t="s">
        <v>178</v>
      </c>
      <c r="F165" s="206">
        <v>240</v>
      </c>
      <c r="G165" s="206"/>
      <c r="H165" s="212">
        <f>H166</f>
        <v>94.2</v>
      </c>
      <c r="I165" s="209"/>
      <c r="J165" s="209"/>
      <c r="K165" s="209"/>
    </row>
    <row r="166" spans="1:11" ht="45" hidden="1">
      <c r="A166" s="211"/>
      <c r="B166" s="206" t="s">
        <v>199</v>
      </c>
      <c r="C166" s="206">
        <v>966</v>
      </c>
      <c r="D166" s="211" t="s">
        <v>83</v>
      </c>
      <c r="E166" s="211" t="s">
        <v>178</v>
      </c>
      <c r="F166" s="206">
        <v>244</v>
      </c>
      <c r="G166" s="206"/>
      <c r="H166" s="212">
        <f>H168+H167</f>
        <v>94.2</v>
      </c>
      <c r="I166" s="209"/>
      <c r="J166" s="209"/>
      <c r="K166" s="209"/>
    </row>
    <row r="167" spans="1:11" ht="22.5" hidden="1">
      <c r="A167" s="211"/>
      <c r="B167" s="206" t="s">
        <v>203</v>
      </c>
      <c r="C167" s="206">
        <v>966</v>
      </c>
      <c r="D167" s="211" t="s">
        <v>83</v>
      </c>
      <c r="E167" s="211" t="s">
        <v>178</v>
      </c>
      <c r="F167" s="206">
        <v>244</v>
      </c>
      <c r="G167" s="206">
        <v>290</v>
      </c>
      <c r="H167" s="212">
        <f>100-10</f>
        <v>90</v>
      </c>
      <c r="I167" s="209"/>
      <c r="J167" s="209"/>
      <c r="K167" s="209"/>
    </row>
    <row r="168" spans="1:11" ht="22.5" hidden="1">
      <c r="A168" s="211"/>
      <c r="B168" s="206" t="s">
        <v>217</v>
      </c>
      <c r="C168" s="206">
        <v>966</v>
      </c>
      <c r="D168" s="211" t="s">
        <v>83</v>
      </c>
      <c r="E168" s="211" t="s">
        <v>178</v>
      </c>
      <c r="F168" s="206">
        <v>244</v>
      </c>
      <c r="G168" s="206">
        <v>340</v>
      </c>
      <c r="H168" s="212">
        <f>5.5-1.2-0.1</f>
        <v>4.2</v>
      </c>
      <c r="I168" s="209"/>
      <c r="J168" s="209">
        <v>1</v>
      </c>
      <c r="K168" s="209"/>
    </row>
    <row r="169" spans="1:11" ht="45" hidden="1">
      <c r="A169" s="211" t="s">
        <v>474</v>
      </c>
      <c r="B169" s="206" t="s">
        <v>116</v>
      </c>
      <c r="C169" s="206">
        <v>966</v>
      </c>
      <c r="D169" s="211" t="s">
        <v>83</v>
      </c>
      <c r="E169" s="211" t="s">
        <v>179</v>
      </c>
      <c r="F169" s="206"/>
      <c r="G169" s="206"/>
      <c r="H169" s="212">
        <f>H170</f>
        <v>198</v>
      </c>
      <c r="I169" s="209"/>
      <c r="J169" s="209">
        <f>J170</f>
        <v>198</v>
      </c>
      <c r="K169" s="209"/>
    </row>
    <row r="170" spans="1:11" ht="33.75" hidden="1">
      <c r="A170" s="211" t="s">
        <v>475</v>
      </c>
      <c r="B170" s="206" t="s">
        <v>24</v>
      </c>
      <c r="C170" s="206">
        <v>966</v>
      </c>
      <c r="D170" s="211" t="s">
        <v>83</v>
      </c>
      <c r="E170" s="211" t="s">
        <v>179</v>
      </c>
      <c r="F170" s="206">
        <v>200</v>
      </c>
      <c r="G170" s="206"/>
      <c r="H170" s="212">
        <f>'НЕ УДАЛЯТЬ'!H169</f>
        <v>198</v>
      </c>
      <c r="I170" s="209"/>
      <c r="J170" s="209">
        <v>198</v>
      </c>
      <c r="K170" s="209"/>
    </row>
    <row r="171" spans="1:11" ht="33.75" hidden="1">
      <c r="A171" s="211"/>
      <c r="B171" s="206" t="s">
        <v>108</v>
      </c>
      <c r="C171" s="206">
        <v>966</v>
      </c>
      <c r="D171" s="211" t="s">
        <v>83</v>
      </c>
      <c r="E171" s="211" t="s">
        <v>179</v>
      </c>
      <c r="F171" s="206">
        <v>240</v>
      </c>
      <c r="G171" s="206"/>
      <c r="H171" s="212">
        <f>H172</f>
        <v>208</v>
      </c>
      <c r="I171" s="209"/>
      <c r="J171" s="209"/>
      <c r="K171" s="209"/>
    </row>
    <row r="172" spans="1:11" ht="45" hidden="1">
      <c r="A172" s="211"/>
      <c r="B172" s="206" t="s">
        <v>199</v>
      </c>
      <c r="C172" s="206">
        <v>966</v>
      </c>
      <c r="D172" s="211" t="s">
        <v>83</v>
      </c>
      <c r="E172" s="211" t="s">
        <v>179</v>
      </c>
      <c r="F172" s="206">
        <v>244</v>
      </c>
      <c r="G172" s="206"/>
      <c r="H172" s="212">
        <f>H173</f>
        <v>208</v>
      </c>
      <c r="I172" s="209"/>
      <c r="J172" s="209"/>
      <c r="K172" s="209"/>
    </row>
    <row r="173" spans="1:11" ht="22.5" hidden="1">
      <c r="A173" s="211"/>
      <c r="B173" s="206" t="s">
        <v>208</v>
      </c>
      <c r="C173" s="206">
        <v>966</v>
      </c>
      <c r="D173" s="211" t="s">
        <v>83</v>
      </c>
      <c r="E173" s="211" t="s">
        <v>179</v>
      </c>
      <c r="F173" s="206">
        <v>244</v>
      </c>
      <c r="G173" s="206">
        <v>226</v>
      </c>
      <c r="H173" s="212">
        <f>220-22+10</f>
        <v>208</v>
      </c>
      <c r="I173" s="209"/>
      <c r="J173" s="209"/>
      <c r="K173" s="209"/>
    </row>
    <row r="174" spans="1:11" ht="60" customHeight="1" hidden="1" thickBot="1">
      <c r="A174" s="211" t="s">
        <v>476</v>
      </c>
      <c r="B174" s="206" t="s">
        <v>165</v>
      </c>
      <c r="C174" s="206">
        <v>966</v>
      </c>
      <c r="D174" s="211" t="s">
        <v>83</v>
      </c>
      <c r="E174" s="211" t="s">
        <v>180</v>
      </c>
      <c r="F174" s="206"/>
      <c r="G174" s="206"/>
      <c r="H174" s="212">
        <f>H175</f>
        <v>19.3</v>
      </c>
      <c r="I174" s="209"/>
      <c r="J174" s="209">
        <f>J175</f>
        <v>19.3</v>
      </c>
      <c r="K174" s="209"/>
    </row>
    <row r="175" spans="1:11" ht="33.75" hidden="1">
      <c r="A175" s="211" t="s">
        <v>477</v>
      </c>
      <c r="B175" s="206" t="s">
        <v>24</v>
      </c>
      <c r="C175" s="206">
        <v>966</v>
      </c>
      <c r="D175" s="211" t="s">
        <v>83</v>
      </c>
      <c r="E175" s="211" t="s">
        <v>180</v>
      </c>
      <c r="F175" s="206">
        <v>200</v>
      </c>
      <c r="G175" s="206"/>
      <c r="H175" s="212">
        <f>'НЕ УДАЛЯТЬ'!H174</f>
        <v>19.3</v>
      </c>
      <c r="I175" s="209"/>
      <c r="J175" s="209">
        <v>19.3</v>
      </c>
      <c r="K175" s="209"/>
    </row>
    <row r="176" spans="1:11" ht="33.75" hidden="1">
      <c r="A176" s="211"/>
      <c r="B176" s="206" t="s">
        <v>108</v>
      </c>
      <c r="C176" s="206">
        <v>966</v>
      </c>
      <c r="D176" s="211" t="s">
        <v>83</v>
      </c>
      <c r="E176" s="211" t="s">
        <v>180</v>
      </c>
      <c r="F176" s="206">
        <v>240</v>
      </c>
      <c r="G176" s="206"/>
      <c r="H176" s="212">
        <f>H177</f>
        <v>19.3</v>
      </c>
      <c r="I176" s="209"/>
      <c r="J176" s="209"/>
      <c r="K176" s="209"/>
    </row>
    <row r="177" spans="1:11" ht="45" hidden="1">
      <c r="A177" s="211"/>
      <c r="B177" s="206" t="s">
        <v>199</v>
      </c>
      <c r="C177" s="206">
        <v>966</v>
      </c>
      <c r="D177" s="211" t="s">
        <v>83</v>
      </c>
      <c r="E177" s="211" t="s">
        <v>180</v>
      </c>
      <c r="F177" s="206">
        <v>244</v>
      </c>
      <c r="G177" s="206"/>
      <c r="H177" s="212">
        <f>H178</f>
        <v>19.3</v>
      </c>
      <c r="I177" s="209"/>
      <c r="J177" s="209"/>
      <c r="K177" s="209"/>
    </row>
    <row r="178" spans="1:11" ht="22.5" hidden="1">
      <c r="A178" s="211"/>
      <c r="B178" s="206" t="s">
        <v>217</v>
      </c>
      <c r="C178" s="206">
        <v>966</v>
      </c>
      <c r="D178" s="211" t="s">
        <v>83</v>
      </c>
      <c r="E178" s="211" t="s">
        <v>180</v>
      </c>
      <c r="F178" s="206">
        <v>244</v>
      </c>
      <c r="G178" s="206">
        <v>340</v>
      </c>
      <c r="H178" s="212">
        <f>25-5.7</f>
        <v>19.3</v>
      </c>
      <c r="I178" s="209"/>
      <c r="J178" s="209">
        <v>1</v>
      </c>
      <c r="K178" s="209"/>
    </row>
    <row r="179" spans="1:11" ht="45" hidden="1">
      <c r="A179" s="211" t="s">
        <v>478</v>
      </c>
      <c r="B179" s="206" t="s">
        <v>260</v>
      </c>
      <c r="C179" s="206">
        <v>966</v>
      </c>
      <c r="D179" s="211" t="s">
        <v>83</v>
      </c>
      <c r="E179" s="211" t="s">
        <v>255</v>
      </c>
      <c r="F179" s="206"/>
      <c r="G179" s="217"/>
      <c r="H179" s="212">
        <f>H180</f>
        <v>1386</v>
      </c>
      <c r="I179" s="209"/>
      <c r="J179" s="209">
        <f>J180</f>
        <v>1385.9</v>
      </c>
      <c r="K179" s="209"/>
    </row>
    <row r="180" spans="1:11" ht="78.75" hidden="1">
      <c r="A180" s="211" t="s">
        <v>479</v>
      </c>
      <c r="B180" s="206" t="s">
        <v>105</v>
      </c>
      <c r="C180" s="206">
        <v>966</v>
      </c>
      <c r="D180" s="211" t="s">
        <v>83</v>
      </c>
      <c r="E180" s="211" t="s">
        <v>255</v>
      </c>
      <c r="F180" s="206">
        <v>100</v>
      </c>
      <c r="G180" s="217"/>
      <c r="H180" s="212">
        <f>'НЕ УДАЛЯТЬ'!H179</f>
        <v>1386</v>
      </c>
      <c r="I180" s="209"/>
      <c r="J180" s="209">
        <v>1385.9</v>
      </c>
      <c r="K180" s="209"/>
    </row>
    <row r="181" spans="1:11" ht="33.75" hidden="1">
      <c r="A181" s="211"/>
      <c r="B181" s="206" t="s">
        <v>257</v>
      </c>
      <c r="C181" s="206">
        <v>966</v>
      </c>
      <c r="D181" s="211" t="s">
        <v>83</v>
      </c>
      <c r="E181" s="211" t="s">
        <v>255</v>
      </c>
      <c r="F181" s="206">
        <v>110</v>
      </c>
      <c r="G181" s="217"/>
      <c r="H181" s="212">
        <f>H182+H184</f>
        <v>1356.2</v>
      </c>
      <c r="I181" s="209"/>
      <c r="J181" s="209"/>
      <c r="K181" s="209"/>
    </row>
    <row r="182" spans="1:11" ht="22.5" hidden="1">
      <c r="A182" s="211"/>
      <c r="B182" s="206" t="s">
        <v>254</v>
      </c>
      <c r="C182" s="206">
        <v>966</v>
      </c>
      <c r="D182" s="211" t="s">
        <v>83</v>
      </c>
      <c r="E182" s="211" t="s">
        <v>255</v>
      </c>
      <c r="F182" s="206">
        <v>111</v>
      </c>
      <c r="G182" s="206"/>
      <c r="H182" s="212">
        <f>H183</f>
        <v>1062.2</v>
      </c>
      <c r="I182" s="209"/>
      <c r="J182" s="209"/>
      <c r="K182" s="209"/>
    </row>
    <row r="183" spans="1:11" ht="22.5" hidden="1">
      <c r="A183" s="211"/>
      <c r="B183" s="206" t="s">
        <v>206</v>
      </c>
      <c r="C183" s="206">
        <v>966</v>
      </c>
      <c r="D183" s="211" t="s">
        <v>83</v>
      </c>
      <c r="E183" s="211" t="s">
        <v>255</v>
      </c>
      <c r="F183" s="206">
        <v>111</v>
      </c>
      <c r="G183" s="206">
        <v>211</v>
      </c>
      <c r="H183" s="212">
        <f>1143.3-81.1</f>
        <v>1062.2</v>
      </c>
      <c r="I183" s="209"/>
      <c r="J183" s="209"/>
      <c r="K183" s="209"/>
    </row>
    <row r="184" spans="1:11" ht="67.5" hidden="1">
      <c r="A184" s="211"/>
      <c r="B184" s="206" t="s">
        <v>258</v>
      </c>
      <c r="C184" s="206">
        <v>966</v>
      </c>
      <c r="D184" s="211" t="s">
        <v>83</v>
      </c>
      <c r="E184" s="211" t="s">
        <v>255</v>
      </c>
      <c r="F184" s="206">
        <v>119</v>
      </c>
      <c r="G184" s="206"/>
      <c r="H184" s="212">
        <f>H185</f>
        <v>294</v>
      </c>
      <c r="I184" s="209"/>
      <c r="J184" s="209"/>
      <c r="K184" s="209"/>
    </row>
    <row r="185" spans="1:11" ht="22.5" hidden="1">
      <c r="A185" s="211"/>
      <c r="B185" s="206" t="s">
        <v>207</v>
      </c>
      <c r="C185" s="206">
        <v>966</v>
      </c>
      <c r="D185" s="211" t="s">
        <v>83</v>
      </c>
      <c r="E185" s="211" t="s">
        <v>255</v>
      </c>
      <c r="F185" s="206">
        <v>119</v>
      </c>
      <c r="G185" s="206">
        <v>213</v>
      </c>
      <c r="H185" s="212">
        <f>343-49</f>
        <v>294</v>
      </c>
      <c r="I185" s="209"/>
      <c r="J185" s="209"/>
      <c r="K185" s="209"/>
    </row>
    <row r="186" spans="1:11" ht="21.75" customHeight="1">
      <c r="A186" s="211" t="s">
        <v>43</v>
      </c>
      <c r="B186" s="206" t="s">
        <v>44</v>
      </c>
      <c r="C186" s="232" t="str">
        <f>D22</f>
        <v>03</v>
      </c>
      <c r="D186" s="211" t="s">
        <v>486</v>
      </c>
      <c r="E186" s="274">
        <f>E187</f>
        <v>953.2</v>
      </c>
      <c r="F186" s="275"/>
      <c r="G186" s="275"/>
      <c r="H186" s="276"/>
      <c r="I186" s="209"/>
      <c r="J186" s="210">
        <f>J187</f>
        <v>953.2</v>
      </c>
      <c r="K186" s="210">
        <f>K187</f>
        <v>100</v>
      </c>
    </row>
    <row r="187" spans="1:11" ht="49.5" customHeight="1">
      <c r="A187" s="211" t="s">
        <v>45</v>
      </c>
      <c r="B187" s="206" t="s">
        <v>46</v>
      </c>
      <c r="C187" s="218" t="str">
        <f>C186</f>
        <v>03</v>
      </c>
      <c r="D187" s="211" t="s">
        <v>499</v>
      </c>
      <c r="E187" s="274">
        <f>H188+H194</f>
        <v>953.2</v>
      </c>
      <c r="F187" s="275"/>
      <c r="G187" s="275"/>
      <c r="H187" s="276"/>
      <c r="I187" s="209"/>
      <c r="J187" s="210">
        <f>J188+J194</f>
        <v>953.2</v>
      </c>
      <c r="K187" s="210">
        <f>K268</f>
        <v>100</v>
      </c>
    </row>
    <row r="188" spans="1:11" ht="135" hidden="1">
      <c r="A188" s="211" t="s">
        <v>161</v>
      </c>
      <c r="B188" s="206" t="s">
        <v>162</v>
      </c>
      <c r="C188" s="206">
        <v>966</v>
      </c>
      <c r="D188" s="211" t="s">
        <v>87</v>
      </c>
      <c r="E188" s="211" t="s">
        <v>181</v>
      </c>
      <c r="F188" s="206"/>
      <c r="G188" s="206"/>
      <c r="H188" s="212">
        <f>H189</f>
        <v>10</v>
      </c>
      <c r="I188" s="209"/>
      <c r="J188" s="210">
        <f>J189</f>
        <v>10</v>
      </c>
      <c r="K188" s="209"/>
    </row>
    <row r="189" spans="1:11" ht="33.75" hidden="1">
      <c r="A189" s="211" t="s">
        <v>163</v>
      </c>
      <c r="B189" s="206" t="s">
        <v>24</v>
      </c>
      <c r="C189" s="206">
        <v>966</v>
      </c>
      <c r="D189" s="211" t="s">
        <v>87</v>
      </c>
      <c r="E189" s="211" t="s">
        <v>181</v>
      </c>
      <c r="F189" s="206">
        <v>200</v>
      </c>
      <c r="G189" s="206"/>
      <c r="H189" s="212">
        <f>'НЕ УДАЛЯТЬ'!H188</f>
        <v>10</v>
      </c>
      <c r="I189" s="209"/>
      <c r="J189" s="210">
        <f>H189</f>
        <v>10</v>
      </c>
      <c r="K189" s="209"/>
    </row>
    <row r="190" spans="1:11" ht="33.75" hidden="1">
      <c r="A190" s="211"/>
      <c r="B190" s="206" t="s">
        <v>108</v>
      </c>
      <c r="C190" s="206">
        <v>966</v>
      </c>
      <c r="D190" s="211" t="s">
        <v>87</v>
      </c>
      <c r="E190" s="211" t="s">
        <v>181</v>
      </c>
      <c r="F190" s="206">
        <v>240</v>
      </c>
      <c r="G190" s="206"/>
      <c r="H190" s="212">
        <f>H191</f>
        <v>80</v>
      </c>
      <c r="I190" s="209"/>
      <c r="J190" s="209"/>
      <c r="K190" s="209"/>
    </row>
    <row r="191" spans="1:11" ht="45" hidden="1">
      <c r="A191" s="211"/>
      <c r="B191" s="206" t="s">
        <v>199</v>
      </c>
      <c r="C191" s="206">
        <v>966</v>
      </c>
      <c r="D191" s="211" t="s">
        <v>87</v>
      </c>
      <c r="E191" s="211" t="s">
        <v>181</v>
      </c>
      <c r="F191" s="206">
        <v>244</v>
      </c>
      <c r="G191" s="206"/>
      <c r="H191" s="212">
        <f>H192+H193</f>
        <v>80</v>
      </c>
      <c r="I191" s="209"/>
      <c r="J191" s="209"/>
      <c r="K191" s="209"/>
    </row>
    <row r="192" spans="1:11" ht="22.5" hidden="1">
      <c r="A192" s="211"/>
      <c r="B192" s="206" t="s">
        <v>208</v>
      </c>
      <c r="C192" s="206">
        <v>966</v>
      </c>
      <c r="D192" s="211" t="s">
        <v>87</v>
      </c>
      <c r="E192" s="211" t="s">
        <v>181</v>
      </c>
      <c r="F192" s="206">
        <v>244</v>
      </c>
      <c r="G192" s="206">
        <v>226</v>
      </c>
      <c r="H192" s="212">
        <f>80-40</f>
        <v>40</v>
      </c>
      <c r="I192" s="209"/>
      <c r="J192" s="209"/>
      <c r="K192" s="209">
        <v>2</v>
      </c>
    </row>
    <row r="193" spans="1:11" ht="22.5" hidden="1">
      <c r="A193" s="211"/>
      <c r="B193" s="206" t="s">
        <v>218</v>
      </c>
      <c r="C193" s="206">
        <v>966</v>
      </c>
      <c r="D193" s="211" t="s">
        <v>87</v>
      </c>
      <c r="E193" s="211" t="s">
        <v>181</v>
      </c>
      <c r="F193" s="206">
        <v>244</v>
      </c>
      <c r="G193" s="206">
        <v>310</v>
      </c>
      <c r="H193" s="212">
        <v>40</v>
      </c>
      <c r="I193" s="209"/>
      <c r="J193" s="209"/>
      <c r="K193" s="209">
        <v>2</v>
      </c>
    </row>
    <row r="194" spans="1:11" ht="90" hidden="1">
      <c r="A194" s="211" t="s">
        <v>47</v>
      </c>
      <c r="B194" s="206" t="s">
        <v>112</v>
      </c>
      <c r="C194" s="206">
        <v>966</v>
      </c>
      <c r="D194" s="211" t="s">
        <v>87</v>
      </c>
      <c r="E194" s="211" t="s">
        <v>182</v>
      </c>
      <c r="F194" s="206"/>
      <c r="G194" s="206"/>
      <c r="H194" s="212">
        <f>H195</f>
        <v>943.2</v>
      </c>
      <c r="I194" s="209"/>
      <c r="J194" s="210">
        <f>J195</f>
        <v>943.2</v>
      </c>
      <c r="K194" s="209"/>
    </row>
    <row r="195" spans="1:11" ht="33.75" hidden="1">
      <c r="A195" s="211" t="s">
        <v>48</v>
      </c>
      <c r="B195" s="206" t="s">
        <v>24</v>
      </c>
      <c r="C195" s="206">
        <v>966</v>
      </c>
      <c r="D195" s="211" t="s">
        <v>87</v>
      </c>
      <c r="E195" s="211" t="s">
        <v>182</v>
      </c>
      <c r="F195" s="206">
        <v>200</v>
      </c>
      <c r="G195" s="206"/>
      <c r="H195" s="212">
        <f>'НЕ УДАЛЯТЬ'!H194</f>
        <v>943.2</v>
      </c>
      <c r="I195" s="209"/>
      <c r="J195" s="210">
        <f>H195</f>
        <v>943.2</v>
      </c>
      <c r="K195" s="209"/>
    </row>
    <row r="196" spans="1:11" ht="33.75" hidden="1">
      <c r="A196" s="211"/>
      <c r="B196" s="206" t="s">
        <v>108</v>
      </c>
      <c r="C196" s="206">
        <v>966</v>
      </c>
      <c r="D196" s="211" t="s">
        <v>87</v>
      </c>
      <c r="E196" s="211" t="s">
        <v>182</v>
      </c>
      <c r="F196" s="206">
        <v>240</v>
      </c>
      <c r="G196" s="206"/>
      <c r="H196" s="212">
        <f>H197</f>
        <v>960</v>
      </c>
      <c r="I196" s="209"/>
      <c r="J196" s="209"/>
      <c r="K196" s="209"/>
    </row>
    <row r="197" spans="1:11" ht="45" hidden="1">
      <c r="A197" s="211"/>
      <c r="B197" s="206" t="s">
        <v>199</v>
      </c>
      <c r="C197" s="206">
        <v>966</v>
      </c>
      <c r="D197" s="211" t="s">
        <v>87</v>
      </c>
      <c r="E197" s="211" t="s">
        <v>182</v>
      </c>
      <c r="F197" s="206">
        <v>244</v>
      </c>
      <c r="G197" s="206"/>
      <c r="H197" s="212">
        <f>SUM(H198:H199)</f>
        <v>960</v>
      </c>
      <c r="I197" s="209"/>
      <c r="J197" s="209"/>
      <c r="K197" s="209"/>
    </row>
    <row r="198" spans="1:11" ht="22.5" hidden="1">
      <c r="A198" s="211"/>
      <c r="B198" s="206" t="s">
        <v>247</v>
      </c>
      <c r="C198" s="206">
        <v>966</v>
      </c>
      <c r="D198" s="211" t="s">
        <v>87</v>
      </c>
      <c r="E198" s="211" t="s">
        <v>182</v>
      </c>
      <c r="F198" s="206">
        <v>244</v>
      </c>
      <c r="G198" s="206">
        <v>224</v>
      </c>
      <c r="H198" s="212">
        <v>900</v>
      </c>
      <c r="I198" s="209"/>
      <c r="J198" s="209"/>
      <c r="K198" s="209"/>
    </row>
    <row r="199" spans="1:11" ht="22.5" hidden="1">
      <c r="A199" s="211"/>
      <c r="B199" s="206" t="s">
        <v>208</v>
      </c>
      <c r="C199" s="206">
        <v>966</v>
      </c>
      <c r="D199" s="211" t="s">
        <v>87</v>
      </c>
      <c r="E199" s="211" t="s">
        <v>182</v>
      </c>
      <c r="F199" s="206">
        <v>244</v>
      </c>
      <c r="G199" s="206">
        <v>226</v>
      </c>
      <c r="H199" s="212">
        <f>327.5-267.5</f>
        <v>60</v>
      </c>
      <c r="I199" s="209"/>
      <c r="J199" s="209"/>
      <c r="K199" s="209"/>
    </row>
    <row r="200" spans="1:11" ht="16.5" customHeight="1">
      <c r="A200" s="211" t="s">
        <v>133</v>
      </c>
      <c r="B200" s="206" t="s">
        <v>49</v>
      </c>
      <c r="C200" s="211" t="s">
        <v>495</v>
      </c>
      <c r="D200" s="211" t="s">
        <v>486</v>
      </c>
      <c r="E200" s="274">
        <f>E201</f>
        <v>32999.9</v>
      </c>
      <c r="F200" s="275"/>
      <c r="G200" s="275"/>
      <c r="H200" s="276"/>
      <c r="I200" s="209"/>
      <c r="J200" s="210">
        <f>J201</f>
        <v>32826</v>
      </c>
      <c r="K200" s="210">
        <f>K201</f>
        <v>99.47302870614759</v>
      </c>
    </row>
    <row r="201" spans="1:11" ht="12.75">
      <c r="A201" s="211" t="s">
        <v>135</v>
      </c>
      <c r="B201" s="206" t="s">
        <v>50</v>
      </c>
      <c r="C201" s="211" t="s">
        <v>495</v>
      </c>
      <c r="D201" s="211" t="s">
        <v>488</v>
      </c>
      <c r="E201" s="274">
        <f>H202+H208+H215+H221+H228+H234+H239+H244+H264</f>
        <v>32999.9</v>
      </c>
      <c r="F201" s="275"/>
      <c r="G201" s="275"/>
      <c r="H201" s="276"/>
      <c r="I201" s="209"/>
      <c r="J201" s="210">
        <v>32826</v>
      </c>
      <c r="K201" s="210">
        <f>J201/E201*100</f>
        <v>99.47302870614759</v>
      </c>
    </row>
    <row r="202" spans="1:11" ht="67.5" hidden="1">
      <c r="A202" s="211" t="s">
        <v>136</v>
      </c>
      <c r="B202" s="206" t="s">
        <v>128</v>
      </c>
      <c r="C202" s="211">
        <v>966</v>
      </c>
      <c r="D202" s="211" t="s">
        <v>89</v>
      </c>
      <c r="E202" s="211" t="s">
        <v>183</v>
      </c>
      <c r="F202" s="206"/>
      <c r="G202" s="206"/>
      <c r="H202" s="212">
        <f>H203</f>
        <v>323</v>
      </c>
      <c r="I202" s="209"/>
      <c r="J202" s="209">
        <f>J203</f>
        <v>322.9</v>
      </c>
      <c r="K202" s="209"/>
    </row>
    <row r="203" spans="1:11" ht="33.75" hidden="1">
      <c r="A203" s="211" t="s">
        <v>137</v>
      </c>
      <c r="B203" s="206" t="s">
        <v>24</v>
      </c>
      <c r="C203" s="211">
        <v>966</v>
      </c>
      <c r="D203" s="211" t="s">
        <v>89</v>
      </c>
      <c r="E203" s="211" t="s">
        <v>183</v>
      </c>
      <c r="F203" s="206">
        <v>200</v>
      </c>
      <c r="G203" s="206"/>
      <c r="H203" s="212">
        <f>'НЕ УДАЛЯТЬ'!H202</f>
        <v>323</v>
      </c>
      <c r="I203" s="209"/>
      <c r="J203" s="209">
        <v>322.9</v>
      </c>
      <c r="K203" s="209"/>
    </row>
    <row r="204" spans="1:11" ht="33.75" hidden="1">
      <c r="A204" s="211"/>
      <c r="B204" s="206" t="s">
        <v>108</v>
      </c>
      <c r="C204" s="211">
        <v>966</v>
      </c>
      <c r="D204" s="211" t="s">
        <v>89</v>
      </c>
      <c r="E204" s="211" t="s">
        <v>183</v>
      </c>
      <c r="F204" s="206">
        <v>240</v>
      </c>
      <c r="G204" s="206"/>
      <c r="H204" s="212">
        <f>H205</f>
        <v>8162.599999999999</v>
      </c>
      <c r="I204" s="209"/>
      <c r="J204" s="209"/>
      <c r="K204" s="209"/>
    </row>
    <row r="205" spans="1:11" ht="45" hidden="1">
      <c r="A205" s="211"/>
      <c r="B205" s="206" t="s">
        <v>199</v>
      </c>
      <c r="C205" s="211">
        <v>966</v>
      </c>
      <c r="D205" s="211" t="s">
        <v>89</v>
      </c>
      <c r="E205" s="211" t="s">
        <v>183</v>
      </c>
      <c r="F205" s="206">
        <v>244</v>
      </c>
      <c r="G205" s="219"/>
      <c r="H205" s="213">
        <f>H206+H207</f>
        <v>8162.599999999999</v>
      </c>
      <c r="I205" s="209"/>
      <c r="J205" s="209"/>
      <c r="K205" s="209"/>
    </row>
    <row r="206" spans="1:11" ht="22.5" hidden="1">
      <c r="A206" s="211"/>
      <c r="B206" s="206" t="s">
        <v>208</v>
      </c>
      <c r="C206" s="211">
        <v>966</v>
      </c>
      <c r="D206" s="211" t="s">
        <v>89</v>
      </c>
      <c r="E206" s="211" t="s">
        <v>183</v>
      </c>
      <c r="F206" s="206">
        <v>244</v>
      </c>
      <c r="G206" s="219">
        <v>226</v>
      </c>
      <c r="H206" s="213">
        <f>9793.9-626.1-100-137.9-500-367.3</f>
        <v>8062.599999999999</v>
      </c>
      <c r="I206" s="209" t="s">
        <v>251</v>
      </c>
      <c r="J206" s="209"/>
      <c r="K206" s="209"/>
    </row>
    <row r="207" spans="1:11" ht="22.5" hidden="1">
      <c r="A207" s="211"/>
      <c r="B207" s="206" t="s">
        <v>218</v>
      </c>
      <c r="C207" s="211">
        <v>966</v>
      </c>
      <c r="D207" s="211" t="s">
        <v>89</v>
      </c>
      <c r="E207" s="211" t="s">
        <v>183</v>
      </c>
      <c r="F207" s="206">
        <v>244</v>
      </c>
      <c r="G207" s="219">
        <v>310</v>
      </c>
      <c r="H207" s="213">
        <v>100</v>
      </c>
      <c r="I207" s="209"/>
      <c r="J207" s="209"/>
      <c r="K207" s="209"/>
    </row>
    <row r="208" spans="1:11" ht="56.25" hidden="1">
      <c r="A208" s="211" t="s">
        <v>138</v>
      </c>
      <c r="B208" s="206" t="s">
        <v>129</v>
      </c>
      <c r="C208" s="211">
        <v>966</v>
      </c>
      <c r="D208" s="211" t="s">
        <v>89</v>
      </c>
      <c r="E208" s="211" t="s">
        <v>184</v>
      </c>
      <c r="F208" s="206"/>
      <c r="G208" s="206"/>
      <c r="H208" s="212">
        <f>H209</f>
        <v>1908.8999999999999</v>
      </c>
      <c r="I208" s="209"/>
      <c r="J208" s="209">
        <f>J209</f>
        <v>1908.9</v>
      </c>
      <c r="K208" s="209"/>
    </row>
    <row r="209" spans="1:11" ht="33.75" hidden="1">
      <c r="A209" s="211" t="s">
        <v>139</v>
      </c>
      <c r="B209" s="206" t="s">
        <v>24</v>
      </c>
      <c r="C209" s="211">
        <v>966</v>
      </c>
      <c r="D209" s="211" t="s">
        <v>89</v>
      </c>
      <c r="E209" s="211" t="s">
        <v>184</v>
      </c>
      <c r="F209" s="206">
        <v>200</v>
      </c>
      <c r="G209" s="206"/>
      <c r="H209" s="212">
        <f>'НЕ УДАЛЯТЬ'!H208</f>
        <v>1908.8999999999999</v>
      </c>
      <c r="I209" s="209"/>
      <c r="J209" s="209">
        <v>1908.9</v>
      </c>
      <c r="K209" s="209"/>
    </row>
    <row r="210" spans="1:11" ht="33.75" hidden="1">
      <c r="A210" s="211"/>
      <c r="B210" s="206" t="s">
        <v>108</v>
      </c>
      <c r="C210" s="211">
        <v>966</v>
      </c>
      <c r="D210" s="211" t="s">
        <v>89</v>
      </c>
      <c r="E210" s="211" t="s">
        <v>184</v>
      </c>
      <c r="F210" s="206">
        <v>240</v>
      </c>
      <c r="G210" s="206"/>
      <c r="H210" s="212">
        <f>H211</f>
        <v>2051.0000000000014</v>
      </c>
      <c r="I210" s="209"/>
      <c r="J210" s="209"/>
      <c r="K210" s="209"/>
    </row>
    <row r="211" spans="1:11" ht="45" hidden="1">
      <c r="A211" s="211"/>
      <c r="B211" s="206" t="s">
        <v>199</v>
      </c>
      <c r="C211" s="211">
        <v>966</v>
      </c>
      <c r="D211" s="211" t="s">
        <v>89</v>
      </c>
      <c r="E211" s="211" t="s">
        <v>184</v>
      </c>
      <c r="F211" s="206">
        <v>244</v>
      </c>
      <c r="G211" s="206"/>
      <c r="H211" s="212">
        <f>H212+H213+H214</f>
        <v>2051.0000000000014</v>
      </c>
      <c r="I211" s="209"/>
      <c r="J211" s="209"/>
      <c r="K211" s="209"/>
    </row>
    <row r="212" spans="1:11" ht="22.5" hidden="1">
      <c r="A212" s="211"/>
      <c r="B212" s="206" t="s">
        <v>208</v>
      </c>
      <c r="C212" s="211">
        <v>966</v>
      </c>
      <c r="D212" s="211" t="s">
        <v>89</v>
      </c>
      <c r="E212" s="211" t="s">
        <v>184</v>
      </c>
      <c r="F212" s="206">
        <v>244</v>
      </c>
      <c r="G212" s="206">
        <v>226</v>
      </c>
      <c r="H212" s="212">
        <f>7466.8-980-635.4-1601.6-85.2-600-500-1698.8</f>
        <v>1365.8000000000013</v>
      </c>
      <c r="I212" s="209" t="s">
        <v>251</v>
      </c>
      <c r="J212" s="209"/>
      <c r="K212" s="209"/>
    </row>
    <row r="213" spans="1:11" ht="22.5" hidden="1">
      <c r="A213" s="211"/>
      <c r="B213" s="206" t="s">
        <v>203</v>
      </c>
      <c r="C213" s="211">
        <v>966</v>
      </c>
      <c r="D213" s="211" t="s">
        <v>89</v>
      </c>
      <c r="E213" s="211" t="s">
        <v>184</v>
      </c>
      <c r="F213" s="206">
        <v>244</v>
      </c>
      <c r="G213" s="206">
        <v>290</v>
      </c>
      <c r="H213" s="212">
        <v>85.2</v>
      </c>
      <c r="I213" s="209"/>
      <c r="J213" s="209"/>
      <c r="K213" s="209"/>
    </row>
    <row r="214" spans="1:11" ht="22.5" hidden="1">
      <c r="A214" s="211"/>
      <c r="B214" s="206" t="s">
        <v>217</v>
      </c>
      <c r="C214" s="211">
        <v>966</v>
      </c>
      <c r="D214" s="211" t="s">
        <v>89</v>
      </c>
      <c r="E214" s="211" t="s">
        <v>184</v>
      </c>
      <c r="F214" s="206">
        <v>244</v>
      </c>
      <c r="G214" s="206">
        <v>340</v>
      </c>
      <c r="H214" s="212">
        <v>600</v>
      </c>
      <c r="I214" s="209"/>
      <c r="J214" s="209"/>
      <c r="K214" s="209"/>
    </row>
    <row r="215" spans="1:11" ht="56.25" hidden="1">
      <c r="A215" s="211" t="s">
        <v>140</v>
      </c>
      <c r="B215" s="206" t="s">
        <v>130</v>
      </c>
      <c r="C215" s="211">
        <v>966</v>
      </c>
      <c r="D215" s="211" t="s">
        <v>89</v>
      </c>
      <c r="E215" s="211" t="s">
        <v>185</v>
      </c>
      <c r="F215" s="206"/>
      <c r="G215" s="206"/>
      <c r="H215" s="212">
        <f>H216</f>
        <v>8627.7</v>
      </c>
      <c r="I215" s="209"/>
      <c r="J215" s="210">
        <f>J216</f>
        <v>8627.7</v>
      </c>
      <c r="K215" s="209"/>
    </row>
    <row r="216" spans="1:11" ht="33.75" hidden="1">
      <c r="A216" s="211" t="s">
        <v>141</v>
      </c>
      <c r="B216" s="206" t="s">
        <v>24</v>
      </c>
      <c r="C216" s="211">
        <v>966</v>
      </c>
      <c r="D216" s="211" t="s">
        <v>89</v>
      </c>
      <c r="E216" s="211" t="s">
        <v>185</v>
      </c>
      <c r="F216" s="206">
        <v>200</v>
      </c>
      <c r="G216" s="206"/>
      <c r="H216" s="212">
        <f>'НЕ УДАЛЯТЬ'!H215</f>
        <v>8627.7</v>
      </c>
      <c r="I216" s="209"/>
      <c r="J216" s="210">
        <f>J217</f>
        <v>8627.7</v>
      </c>
      <c r="K216" s="209"/>
    </row>
    <row r="217" spans="1:11" ht="33.75" hidden="1">
      <c r="A217" s="211"/>
      <c r="B217" s="206" t="s">
        <v>108</v>
      </c>
      <c r="C217" s="211">
        <v>966</v>
      </c>
      <c r="D217" s="211" t="s">
        <v>89</v>
      </c>
      <c r="E217" s="211" t="s">
        <v>185</v>
      </c>
      <c r="F217" s="206">
        <v>240</v>
      </c>
      <c r="G217" s="206"/>
      <c r="H217" s="212">
        <v>8627.7</v>
      </c>
      <c r="I217" s="209"/>
      <c r="J217" s="210">
        <f>H217</f>
        <v>8627.7</v>
      </c>
      <c r="K217" s="209"/>
    </row>
    <row r="218" spans="1:11" ht="45" hidden="1">
      <c r="A218" s="211"/>
      <c r="B218" s="206" t="s">
        <v>199</v>
      </c>
      <c r="C218" s="211">
        <v>966</v>
      </c>
      <c r="D218" s="211" t="s">
        <v>89</v>
      </c>
      <c r="E218" s="211" t="s">
        <v>185</v>
      </c>
      <c r="F218" s="206">
        <v>244</v>
      </c>
      <c r="G218" s="206"/>
      <c r="H218" s="212">
        <f>H219+H220</f>
        <v>8117.5</v>
      </c>
      <c r="I218" s="209"/>
      <c r="J218" s="209"/>
      <c r="K218" s="209"/>
    </row>
    <row r="219" spans="1:11" ht="22.5" hidden="1">
      <c r="A219" s="211"/>
      <c r="B219" s="206" t="s">
        <v>208</v>
      </c>
      <c r="C219" s="211">
        <v>966</v>
      </c>
      <c r="D219" s="211" t="s">
        <v>89</v>
      </c>
      <c r="E219" s="211" t="s">
        <v>185</v>
      </c>
      <c r="F219" s="206">
        <v>244</v>
      </c>
      <c r="G219" s="206">
        <v>226</v>
      </c>
      <c r="H219" s="212">
        <f>22603.4-4561.2-2157.6-3758.6-700-1729+2420-135.4-131.5-3999.5-86.5</f>
        <v>7764.1</v>
      </c>
      <c r="I219" s="209" t="s">
        <v>251</v>
      </c>
      <c r="J219" s="209"/>
      <c r="K219" s="209"/>
    </row>
    <row r="220" spans="1:11" ht="22.5" hidden="1">
      <c r="A220" s="211"/>
      <c r="B220" s="206" t="s">
        <v>218</v>
      </c>
      <c r="C220" s="211">
        <v>966</v>
      </c>
      <c r="D220" s="211" t="s">
        <v>89</v>
      </c>
      <c r="E220" s="211" t="s">
        <v>185</v>
      </c>
      <c r="F220" s="206">
        <v>244</v>
      </c>
      <c r="G220" s="206">
        <v>310</v>
      </c>
      <c r="H220" s="212">
        <f>135.4+131.5+86.5</f>
        <v>353.4</v>
      </c>
      <c r="I220" s="209"/>
      <c r="J220" s="209"/>
      <c r="K220" s="209"/>
    </row>
    <row r="221" spans="1:11" ht="45" hidden="1">
      <c r="A221" s="211" t="s">
        <v>142</v>
      </c>
      <c r="B221" s="206" t="s">
        <v>244</v>
      </c>
      <c r="C221" s="211">
        <v>966</v>
      </c>
      <c r="D221" s="211" t="s">
        <v>89</v>
      </c>
      <c r="E221" s="211" t="s">
        <v>232</v>
      </c>
      <c r="F221" s="206"/>
      <c r="G221" s="206"/>
      <c r="H221" s="212">
        <f>H222</f>
        <v>10000</v>
      </c>
      <c r="I221" s="209"/>
      <c r="J221" s="209">
        <f>J222</f>
        <v>9826.7</v>
      </c>
      <c r="K221" s="209"/>
    </row>
    <row r="222" spans="1:11" ht="33.75" hidden="1">
      <c r="A222" s="211" t="s">
        <v>143</v>
      </c>
      <c r="B222" s="206" t="s">
        <v>24</v>
      </c>
      <c r="C222" s="211">
        <v>966</v>
      </c>
      <c r="D222" s="211" t="s">
        <v>89</v>
      </c>
      <c r="E222" s="211" t="s">
        <v>232</v>
      </c>
      <c r="F222" s="206">
        <v>200</v>
      </c>
      <c r="G222" s="206"/>
      <c r="H222" s="212">
        <f>'НЕ УДАЛЯТЬ'!H222</f>
        <v>10000</v>
      </c>
      <c r="I222" s="209"/>
      <c r="J222" s="209">
        <v>9826.7</v>
      </c>
      <c r="K222" s="209"/>
    </row>
    <row r="223" spans="1:11" ht="33.75" hidden="1">
      <c r="A223" s="211"/>
      <c r="B223" s="206" t="s">
        <v>108</v>
      </c>
      <c r="C223" s="211">
        <v>966</v>
      </c>
      <c r="D223" s="211" t="s">
        <v>89</v>
      </c>
      <c r="E223" s="211" t="s">
        <v>232</v>
      </c>
      <c r="F223" s="206">
        <v>240</v>
      </c>
      <c r="G223" s="206"/>
      <c r="H223" s="212">
        <f>H224</f>
        <v>10000</v>
      </c>
      <c r="I223" s="209"/>
      <c r="J223" s="209"/>
      <c r="K223" s="209"/>
    </row>
    <row r="224" spans="1:11" ht="45" hidden="1">
      <c r="A224" s="211"/>
      <c r="B224" s="206" t="s">
        <v>199</v>
      </c>
      <c r="C224" s="211">
        <v>966</v>
      </c>
      <c r="D224" s="211" t="s">
        <v>89</v>
      </c>
      <c r="E224" s="211" t="s">
        <v>232</v>
      </c>
      <c r="F224" s="206">
        <v>244</v>
      </c>
      <c r="G224" s="206"/>
      <c r="H224" s="212">
        <f>H225+H226+H227</f>
        <v>10000</v>
      </c>
      <c r="I224" s="209"/>
      <c r="J224" s="209"/>
      <c r="K224" s="209"/>
    </row>
    <row r="225" spans="1:11" ht="22.5" hidden="1">
      <c r="A225" s="211"/>
      <c r="B225" s="206" t="s">
        <v>208</v>
      </c>
      <c r="C225" s="211">
        <v>966</v>
      </c>
      <c r="D225" s="211" t="s">
        <v>89</v>
      </c>
      <c r="E225" s="211" t="s">
        <v>232</v>
      </c>
      <c r="F225" s="206">
        <v>244</v>
      </c>
      <c r="G225" s="206">
        <v>226</v>
      </c>
      <c r="H225" s="212">
        <f>10125.3-125.3-1503.1-1618.5-431</f>
        <v>6447.4</v>
      </c>
      <c r="I225" s="209"/>
      <c r="J225" s="209"/>
      <c r="K225" s="209"/>
    </row>
    <row r="226" spans="1:11" ht="22.5" hidden="1">
      <c r="A226" s="211"/>
      <c r="B226" s="206" t="s">
        <v>218</v>
      </c>
      <c r="C226" s="211">
        <v>966</v>
      </c>
      <c r="D226" s="211" t="s">
        <v>89</v>
      </c>
      <c r="E226" s="211" t="s">
        <v>232</v>
      </c>
      <c r="F226" s="206">
        <v>244</v>
      </c>
      <c r="G226" s="206">
        <v>310</v>
      </c>
      <c r="H226" s="212">
        <f>915.9+1618.5</f>
        <v>2534.4</v>
      </c>
      <c r="I226" s="209"/>
      <c r="J226" s="209"/>
      <c r="K226" s="209"/>
    </row>
    <row r="227" spans="1:11" ht="22.5" hidden="1">
      <c r="A227" s="211"/>
      <c r="B227" s="206" t="s">
        <v>217</v>
      </c>
      <c r="C227" s="211">
        <v>966</v>
      </c>
      <c r="D227" s="211" t="s">
        <v>89</v>
      </c>
      <c r="E227" s="211" t="s">
        <v>232</v>
      </c>
      <c r="F227" s="206">
        <v>244</v>
      </c>
      <c r="G227" s="206">
        <v>340</v>
      </c>
      <c r="H227" s="212">
        <f>587.2+431</f>
        <v>1018.2</v>
      </c>
      <c r="I227" s="209"/>
      <c r="J227" s="209"/>
      <c r="K227" s="209"/>
    </row>
    <row r="228" spans="1:11" ht="45" hidden="1">
      <c r="A228" s="211" t="s">
        <v>144</v>
      </c>
      <c r="B228" s="206" t="s">
        <v>193</v>
      </c>
      <c r="C228" s="211">
        <v>966</v>
      </c>
      <c r="D228" s="211" t="s">
        <v>89</v>
      </c>
      <c r="E228" s="211" t="s">
        <v>233</v>
      </c>
      <c r="F228" s="206"/>
      <c r="G228" s="206"/>
      <c r="H228" s="212">
        <f>H229</f>
        <v>5622.300000000001</v>
      </c>
      <c r="I228" s="209"/>
      <c r="J228" s="209">
        <f>J229</f>
        <v>5622.2</v>
      </c>
      <c r="K228" s="209"/>
    </row>
    <row r="229" spans="1:11" ht="33.75" hidden="1">
      <c r="A229" s="211" t="s">
        <v>145</v>
      </c>
      <c r="B229" s="206" t="s">
        <v>24</v>
      </c>
      <c r="C229" s="211">
        <v>966</v>
      </c>
      <c r="D229" s="211" t="s">
        <v>89</v>
      </c>
      <c r="E229" s="211" t="s">
        <v>233</v>
      </c>
      <c r="F229" s="206">
        <v>200</v>
      </c>
      <c r="G229" s="206"/>
      <c r="H229" s="212">
        <f>'НЕ УДАЛЯТЬ'!H229</f>
        <v>5622.300000000001</v>
      </c>
      <c r="I229" s="209"/>
      <c r="J229" s="209">
        <v>5622.2</v>
      </c>
      <c r="K229" s="209"/>
    </row>
    <row r="230" spans="1:11" ht="33.75" hidden="1">
      <c r="A230" s="211"/>
      <c r="B230" s="206" t="s">
        <v>108</v>
      </c>
      <c r="C230" s="211">
        <v>966</v>
      </c>
      <c r="D230" s="211" t="s">
        <v>89</v>
      </c>
      <c r="E230" s="211" t="s">
        <v>233</v>
      </c>
      <c r="F230" s="206">
        <v>240</v>
      </c>
      <c r="G230" s="206"/>
      <c r="H230" s="212">
        <f>H231</f>
        <v>5622.300000000001</v>
      </c>
      <c r="I230" s="209"/>
      <c r="J230" s="209"/>
      <c r="K230" s="209"/>
    </row>
    <row r="231" spans="1:11" ht="45" hidden="1">
      <c r="A231" s="211"/>
      <c r="B231" s="206" t="s">
        <v>199</v>
      </c>
      <c r="C231" s="211">
        <v>966</v>
      </c>
      <c r="D231" s="211" t="s">
        <v>89</v>
      </c>
      <c r="E231" s="211" t="s">
        <v>233</v>
      </c>
      <c r="F231" s="206">
        <v>244</v>
      </c>
      <c r="G231" s="206"/>
      <c r="H231" s="212">
        <f>H232+H233</f>
        <v>5622.300000000001</v>
      </c>
      <c r="I231" s="209"/>
      <c r="J231" s="209"/>
      <c r="K231" s="209"/>
    </row>
    <row r="232" spans="1:11" ht="22.5" hidden="1">
      <c r="A232" s="211"/>
      <c r="B232" s="206" t="s">
        <v>208</v>
      </c>
      <c r="C232" s="211">
        <v>966</v>
      </c>
      <c r="D232" s="211" t="s">
        <v>89</v>
      </c>
      <c r="E232" s="211" t="s">
        <v>233</v>
      </c>
      <c r="F232" s="206">
        <v>244</v>
      </c>
      <c r="G232" s="206">
        <v>226</v>
      </c>
      <c r="H232" s="212">
        <f>1125.1+5014.1-2190-516.9</f>
        <v>3432.3000000000006</v>
      </c>
      <c r="I232" s="209"/>
      <c r="J232" s="209"/>
      <c r="K232" s="209"/>
    </row>
    <row r="233" spans="1:11" ht="22.5" hidden="1">
      <c r="A233" s="211"/>
      <c r="B233" s="206" t="s">
        <v>218</v>
      </c>
      <c r="C233" s="211">
        <v>966</v>
      </c>
      <c r="D233" s="211" t="s">
        <v>89</v>
      </c>
      <c r="E233" s="211" t="s">
        <v>233</v>
      </c>
      <c r="F233" s="206">
        <v>244</v>
      </c>
      <c r="G233" s="206">
        <v>310</v>
      </c>
      <c r="H233" s="212">
        <v>2190</v>
      </c>
      <c r="I233" s="209"/>
      <c r="J233" s="209"/>
      <c r="K233" s="209"/>
    </row>
    <row r="234" spans="1:11" ht="67.5" hidden="1">
      <c r="A234" s="211" t="s">
        <v>146</v>
      </c>
      <c r="B234" s="206" t="s">
        <v>243</v>
      </c>
      <c r="C234" s="211">
        <v>966</v>
      </c>
      <c r="D234" s="211" t="s">
        <v>89</v>
      </c>
      <c r="E234" s="211" t="s">
        <v>186</v>
      </c>
      <c r="F234" s="206"/>
      <c r="G234" s="206"/>
      <c r="H234" s="212">
        <f>H238</f>
        <v>2680.3</v>
      </c>
      <c r="I234" s="209"/>
      <c r="J234" s="210">
        <f>J235</f>
        <v>2680.3</v>
      </c>
      <c r="K234" s="209"/>
    </row>
    <row r="235" spans="1:11" ht="33.75" hidden="1">
      <c r="A235" s="211" t="s">
        <v>147</v>
      </c>
      <c r="B235" s="206" t="s">
        <v>24</v>
      </c>
      <c r="C235" s="211">
        <v>966</v>
      </c>
      <c r="D235" s="211" t="s">
        <v>89</v>
      </c>
      <c r="E235" s="211" t="s">
        <v>186</v>
      </c>
      <c r="F235" s="206">
        <v>200</v>
      </c>
      <c r="G235" s="206"/>
      <c r="H235" s="212">
        <f>'НЕ УДАЛЯТЬ'!H235</f>
        <v>2680.3</v>
      </c>
      <c r="I235" s="209"/>
      <c r="J235" s="210">
        <f>J236</f>
        <v>2680.3</v>
      </c>
      <c r="K235" s="209"/>
    </row>
    <row r="236" spans="1:11" ht="33.75" hidden="1">
      <c r="A236" s="211"/>
      <c r="B236" s="206" t="s">
        <v>108</v>
      </c>
      <c r="C236" s="211">
        <v>966</v>
      </c>
      <c r="D236" s="211" t="s">
        <v>89</v>
      </c>
      <c r="E236" s="211" t="s">
        <v>186</v>
      </c>
      <c r="F236" s="206">
        <v>240</v>
      </c>
      <c r="G236" s="206"/>
      <c r="H236" s="212">
        <f>H237</f>
        <v>2680.3</v>
      </c>
      <c r="I236" s="209"/>
      <c r="J236" s="210">
        <f>H236</f>
        <v>2680.3</v>
      </c>
      <c r="K236" s="209"/>
    </row>
    <row r="237" spans="1:11" ht="45" hidden="1">
      <c r="A237" s="211"/>
      <c r="B237" s="206" t="s">
        <v>199</v>
      </c>
      <c r="C237" s="211">
        <v>966</v>
      </c>
      <c r="D237" s="211" t="s">
        <v>89</v>
      </c>
      <c r="E237" s="211" t="s">
        <v>186</v>
      </c>
      <c r="F237" s="206">
        <v>244</v>
      </c>
      <c r="G237" s="206"/>
      <c r="H237" s="212">
        <f>H238</f>
        <v>2680.3</v>
      </c>
      <c r="I237" s="209"/>
      <c r="J237" s="209"/>
      <c r="K237" s="209"/>
    </row>
    <row r="238" spans="1:11" ht="22.5" hidden="1">
      <c r="A238" s="211"/>
      <c r="B238" s="206" t="s">
        <v>208</v>
      </c>
      <c r="C238" s="211">
        <v>966</v>
      </c>
      <c r="D238" s="211" t="s">
        <v>89</v>
      </c>
      <c r="E238" s="211" t="s">
        <v>186</v>
      </c>
      <c r="F238" s="206">
        <v>244</v>
      </c>
      <c r="G238" s="206">
        <v>226</v>
      </c>
      <c r="H238" s="212">
        <f>5110.3-3030+650-50</f>
        <v>2680.3</v>
      </c>
      <c r="I238" s="209"/>
      <c r="J238" s="209"/>
      <c r="K238" s="209"/>
    </row>
    <row r="239" spans="1:11" ht="78.75" hidden="1">
      <c r="A239" s="211" t="s">
        <v>194</v>
      </c>
      <c r="B239" s="206" t="s">
        <v>164</v>
      </c>
      <c r="C239" s="211">
        <v>966</v>
      </c>
      <c r="D239" s="211" t="s">
        <v>89</v>
      </c>
      <c r="E239" s="211" t="s">
        <v>196</v>
      </c>
      <c r="F239" s="206"/>
      <c r="G239" s="206"/>
      <c r="H239" s="212">
        <f>H242</f>
        <v>0</v>
      </c>
      <c r="I239" s="209"/>
      <c r="J239" s="209"/>
      <c r="K239" s="209"/>
    </row>
    <row r="240" spans="1:11" ht="33.75" hidden="1">
      <c r="A240" s="211" t="s">
        <v>195</v>
      </c>
      <c r="B240" s="206" t="s">
        <v>24</v>
      </c>
      <c r="C240" s="211">
        <v>966</v>
      </c>
      <c r="D240" s="211" t="s">
        <v>89</v>
      </c>
      <c r="E240" s="211" t="s">
        <v>196</v>
      </c>
      <c r="F240" s="206">
        <v>200</v>
      </c>
      <c r="G240" s="206"/>
      <c r="H240" s="212">
        <f>H242</f>
        <v>0</v>
      </c>
      <c r="I240" s="209"/>
      <c r="J240" s="209"/>
      <c r="K240" s="209"/>
    </row>
    <row r="241" spans="1:11" ht="33.75" hidden="1">
      <c r="A241" s="211"/>
      <c r="B241" s="206" t="s">
        <v>108</v>
      </c>
      <c r="C241" s="211">
        <v>966</v>
      </c>
      <c r="D241" s="211" t="s">
        <v>89</v>
      </c>
      <c r="E241" s="211" t="s">
        <v>196</v>
      </c>
      <c r="F241" s="206">
        <v>240</v>
      </c>
      <c r="G241" s="206"/>
      <c r="H241" s="212">
        <f>H242</f>
        <v>0</v>
      </c>
      <c r="I241" s="209"/>
      <c r="J241" s="209"/>
      <c r="K241" s="209"/>
    </row>
    <row r="242" spans="1:11" ht="45" hidden="1">
      <c r="A242" s="211"/>
      <c r="B242" s="206" t="s">
        <v>199</v>
      </c>
      <c r="C242" s="211">
        <v>966</v>
      </c>
      <c r="D242" s="211" t="s">
        <v>89</v>
      </c>
      <c r="E242" s="211" t="s">
        <v>196</v>
      </c>
      <c r="F242" s="206">
        <v>244</v>
      </c>
      <c r="G242" s="206"/>
      <c r="H242" s="212">
        <f>H243</f>
        <v>0</v>
      </c>
      <c r="I242" s="209"/>
      <c r="J242" s="209"/>
      <c r="K242" s="209"/>
    </row>
    <row r="243" spans="1:11" ht="22.5" hidden="1">
      <c r="A243" s="211"/>
      <c r="B243" s="206" t="s">
        <v>218</v>
      </c>
      <c r="C243" s="211">
        <v>966</v>
      </c>
      <c r="D243" s="211" t="s">
        <v>89</v>
      </c>
      <c r="E243" s="211" t="s">
        <v>196</v>
      </c>
      <c r="F243" s="206">
        <v>244</v>
      </c>
      <c r="G243" s="206">
        <v>310</v>
      </c>
      <c r="H243" s="212">
        <f>983.7-200-783.7</f>
        <v>0</v>
      </c>
      <c r="I243" s="209"/>
      <c r="J243" s="209"/>
      <c r="K243" s="209"/>
    </row>
    <row r="244" spans="1:11" ht="33.75" hidden="1">
      <c r="A244" s="211" t="s">
        <v>424</v>
      </c>
      <c r="B244" s="206" t="s">
        <v>259</v>
      </c>
      <c r="C244" s="211">
        <v>966</v>
      </c>
      <c r="D244" s="211" t="s">
        <v>89</v>
      </c>
      <c r="E244" s="211" t="s">
        <v>253</v>
      </c>
      <c r="F244" s="206"/>
      <c r="G244" s="206"/>
      <c r="H244" s="212">
        <f>H245+H256</f>
        <v>3506.8999999999996</v>
      </c>
      <c r="I244" s="209"/>
      <c r="J244" s="209">
        <f>J245+J256</f>
        <v>3506.7</v>
      </c>
      <c r="K244" s="209"/>
    </row>
    <row r="245" spans="1:11" ht="78.75" hidden="1">
      <c r="A245" s="211" t="s">
        <v>425</v>
      </c>
      <c r="B245" s="206" t="s">
        <v>105</v>
      </c>
      <c r="C245" s="211">
        <v>966</v>
      </c>
      <c r="D245" s="211" t="s">
        <v>89</v>
      </c>
      <c r="E245" s="211" t="s">
        <v>253</v>
      </c>
      <c r="F245" s="206">
        <v>100</v>
      </c>
      <c r="G245" s="206"/>
      <c r="H245" s="212">
        <f>'НЕ УДАЛЯТЬ'!H245</f>
        <v>3362.0999999999995</v>
      </c>
      <c r="I245" s="209"/>
      <c r="J245" s="209">
        <v>3362</v>
      </c>
      <c r="K245" s="209"/>
    </row>
    <row r="246" spans="1:11" ht="33.75" hidden="1">
      <c r="A246" s="211"/>
      <c r="B246" s="206" t="s">
        <v>257</v>
      </c>
      <c r="C246" s="211">
        <v>966</v>
      </c>
      <c r="D246" s="211" t="s">
        <v>89</v>
      </c>
      <c r="E246" s="211" t="s">
        <v>253</v>
      </c>
      <c r="F246" s="206">
        <v>110</v>
      </c>
      <c r="G246" s="206"/>
      <c r="H246" s="212">
        <f>H247+H249+H251</f>
        <v>3230.2</v>
      </c>
      <c r="I246" s="209"/>
      <c r="J246" s="209"/>
      <c r="K246" s="209"/>
    </row>
    <row r="247" spans="1:11" ht="22.5" hidden="1">
      <c r="A247" s="211"/>
      <c r="B247" s="206" t="s">
        <v>254</v>
      </c>
      <c r="C247" s="211">
        <v>966</v>
      </c>
      <c r="D247" s="211" t="s">
        <v>89</v>
      </c>
      <c r="E247" s="211" t="s">
        <v>253</v>
      </c>
      <c r="F247" s="206">
        <v>111</v>
      </c>
      <c r="G247" s="206"/>
      <c r="H247" s="212">
        <f>H248</f>
        <v>2598.2</v>
      </c>
      <c r="I247" s="209"/>
      <c r="J247" s="209"/>
      <c r="K247" s="209"/>
    </row>
    <row r="248" spans="1:11" ht="22.5" hidden="1">
      <c r="A248" s="211"/>
      <c r="B248" s="206" t="s">
        <v>206</v>
      </c>
      <c r="C248" s="211">
        <v>966</v>
      </c>
      <c r="D248" s="211" t="s">
        <v>89</v>
      </c>
      <c r="E248" s="211" t="s">
        <v>253</v>
      </c>
      <c r="F248" s="206">
        <v>111</v>
      </c>
      <c r="G248" s="206">
        <v>211</v>
      </c>
      <c r="H248" s="212">
        <f>1786.5+811.7</f>
        <v>2598.2</v>
      </c>
      <c r="I248" s="209"/>
      <c r="J248" s="209"/>
      <c r="K248" s="209"/>
    </row>
    <row r="249" spans="1:11" ht="33.75" hidden="1">
      <c r="A249" s="211"/>
      <c r="B249" s="211" t="s">
        <v>416</v>
      </c>
      <c r="C249" s="211">
        <v>966</v>
      </c>
      <c r="D249" s="211" t="s">
        <v>89</v>
      </c>
      <c r="E249" s="211" t="s">
        <v>253</v>
      </c>
      <c r="F249" s="206">
        <v>112</v>
      </c>
      <c r="G249" s="206"/>
      <c r="H249" s="212">
        <f>H250</f>
        <v>1.6</v>
      </c>
      <c r="I249" s="209"/>
      <c r="J249" s="209"/>
      <c r="K249" s="209"/>
    </row>
    <row r="250" spans="1:11" ht="22.5" hidden="1">
      <c r="A250" s="211"/>
      <c r="B250" s="211" t="s">
        <v>216</v>
      </c>
      <c r="C250" s="211">
        <v>966</v>
      </c>
      <c r="D250" s="211" t="s">
        <v>89</v>
      </c>
      <c r="E250" s="211" t="s">
        <v>253</v>
      </c>
      <c r="F250" s="206">
        <v>112</v>
      </c>
      <c r="G250" s="206">
        <v>222</v>
      </c>
      <c r="H250" s="212">
        <v>1.6</v>
      </c>
      <c r="I250" s="209"/>
      <c r="J250" s="209"/>
      <c r="K250" s="209"/>
    </row>
    <row r="251" spans="1:11" ht="67.5" hidden="1">
      <c r="A251" s="211"/>
      <c r="B251" s="206" t="s">
        <v>258</v>
      </c>
      <c r="C251" s="211">
        <v>966</v>
      </c>
      <c r="D251" s="211" t="s">
        <v>89</v>
      </c>
      <c r="E251" s="211" t="s">
        <v>253</v>
      </c>
      <c r="F251" s="206">
        <v>119</v>
      </c>
      <c r="G251" s="206"/>
      <c r="H251" s="212">
        <f>H252</f>
        <v>630.4</v>
      </c>
      <c r="I251" s="209"/>
      <c r="J251" s="209"/>
      <c r="K251" s="209"/>
    </row>
    <row r="252" spans="1:11" ht="22.5" hidden="1">
      <c r="A252" s="211"/>
      <c r="B252" s="206" t="s">
        <v>207</v>
      </c>
      <c r="C252" s="211">
        <v>966</v>
      </c>
      <c r="D252" s="211" t="s">
        <v>89</v>
      </c>
      <c r="E252" s="211" t="s">
        <v>253</v>
      </c>
      <c r="F252" s="206">
        <v>119</v>
      </c>
      <c r="G252" s="206">
        <v>213</v>
      </c>
      <c r="H252" s="212">
        <f>535.9+94.5</f>
        <v>630.4</v>
      </c>
      <c r="I252" s="209"/>
      <c r="J252" s="209"/>
      <c r="K252" s="209"/>
    </row>
    <row r="253" spans="1:11" ht="33.75" hidden="1">
      <c r="A253" s="211"/>
      <c r="B253" s="211" t="s">
        <v>6</v>
      </c>
      <c r="C253" s="211">
        <v>966</v>
      </c>
      <c r="D253" s="211" t="s">
        <v>89</v>
      </c>
      <c r="E253" s="211" t="s">
        <v>253</v>
      </c>
      <c r="F253" s="206">
        <v>120</v>
      </c>
      <c r="G253" s="206"/>
      <c r="H253" s="212">
        <f>H254</f>
        <v>0</v>
      </c>
      <c r="I253" s="209"/>
      <c r="J253" s="209"/>
      <c r="K253" s="209"/>
    </row>
    <row r="254" spans="1:11" ht="45" hidden="1">
      <c r="A254" s="211"/>
      <c r="B254" s="211" t="s">
        <v>250</v>
      </c>
      <c r="C254" s="211">
        <v>966</v>
      </c>
      <c r="D254" s="211" t="s">
        <v>89</v>
      </c>
      <c r="E254" s="211" t="s">
        <v>253</v>
      </c>
      <c r="F254" s="206">
        <v>122</v>
      </c>
      <c r="G254" s="206"/>
      <c r="H254" s="212">
        <f>H255</f>
        <v>0</v>
      </c>
      <c r="I254" s="209"/>
      <c r="J254" s="209"/>
      <c r="K254" s="209"/>
    </row>
    <row r="255" spans="1:11" ht="22.5" hidden="1">
      <c r="A255" s="211"/>
      <c r="B255" s="211" t="s">
        <v>216</v>
      </c>
      <c r="C255" s="211">
        <v>966</v>
      </c>
      <c r="D255" s="211" t="s">
        <v>89</v>
      </c>
      <c r="E255" s="211" t="s">
        <v>253</v>
      </c>
      <c r="F255" s="206">
        <v>122</v>
      </c>
      <c r="G255" s="206">
        <v>222</v>
      </c>
      <c r="H255" s="212">
        <v>0</v>
      </c>
      <c r="I255" s="209"/>
      <c r="J255" s="209"/>
      <c r="K255" s="209"/>
    </row>
    <row r="256" spans="1:11" ht="33.75" hidden="1">
      <c r="A256" s="211" t="s">
        <v>426</v>
      </c>
      <c r="B256" s="206" t="s">
        <v>24</v>
      </c>
      <c r="C256" s="211">
        <v>966</v>
      </c>
      <c r="D256" s="211" t="s">
        <v>89</v>
      </c>
      <c r="E256" s="211" t="s">
        <v>253</v>
      </c>
      <c r="F256" s="206">
        <v>200</v>
      </c>
      <c r="G256" s="206"/>
      <c r="H256" s="212">
        <f>'НЕ УДАЛЯТЬ'!H256</f>
        <v>144.8</v>
      </c>
      <c r="I256" s="209"/>
      <c r="J256" s="209">
        <v>144.7</v>
      </c>
      <c r="K256" s="209"/>
    </row>
    <row r="257" spans="1:11" ht="33.75" hidden="1">
      <c r="A257" s="211"/>
      <c r="B257" s="206" t="s">
        <v>108</v>
      </c>
      <c r="C257" s="211">
        <v>966</v>
      </c>
      <c r="D257" s="211" t="s">
        <v>89</v>
      </c>
      <c r="E257" s="211" t="s">
        <v>253</v>
      </c>
      <c r="F257" s="206">
        <v>240</v>
      </c>
      <c r="G257" s="206"/>
      <c r="H257" s="212">
        <f>H260+H258</f>
        <v>145.20000000000002</v>
      </c>
      <c r="I257" s="209"/>
      <c r="J257" s="209"/>
      <c r="K257" s="209"/>
    </row>
    <row r="258" spans="1:11" ht="33.75" hidden="1">
      <c r="A258" s="211"/>
      <c r="B258" s="206" t="s">
        <v>202</v>
      </c>
      <c r="C258" s="211">
        <v>966</v>
      </c>
      <c r="D258" s="211" t="s">
        <v>89</v>
      </c>
      <c r="E258" s="211" t="s">
        <v>253</v>
      </c>
      <c r="F258" s="206">
        <v>242</v>
      </c>
      <c r="G258" s="206"/>
      <c r="H258" s="212">
        <f>H259</f>
        <v>0.4</v>
      </c>
      <c r="I258" s="209"/>
      <c r="J258" s="209"/>
      <c r="K258" s="209"/>
    </row>
    <row r="259" spans="1:11" ht="22.5" hidden="1">
      <c r="A259" s="211"/>
      <c r="B259" s="206" t="s">
        <v>211</v>
      </c>
      <c r="C259" s="211">
        <v>966</v>
      </c>
      <c r="D259" s="211" t="s">
        <v>89</v>
      </c>
      <c r="E259" s="211" t="s">
        <v>253</v>
      </c>
      <c r="F259" s="206">
        <v>242</v>
      </c>
      <c r="G259" s="206">
        <v>221</v>
      </c>
      <c r="H259" s="212">
        <f>1.3-0.9</f>
        <v>0.4</v>
      </c>
      <c r="I259" s="209"/>
      <c r="J259" s="209"/>
      <c r="K259" s="209"/>
    </row>
    <row r="260" spans="1:11" ht="45" hidden="1">
      <c r="A260" s="211"/>
      <c r="B260" s="206" t="s">
        <v>199</v>
      </c>
      <c r="C260" s="211">
        <v>966</v>
      </c>
      <c r="D260" s="211" t="s">
        <v>89</v>
      </c>
      <c r="E260" s="211" t="s">
        <v>253</v>
      </c>
      <c r="F260" s="206">
        <v>244</v>
      </c>
      <c r="G260" s="206"/>
      <c r="H260" s="212">
        <f>SUM(H261:H263)</f>
        <v>144.8</v>
      </c>
      <c r="I260" s="209"/>
      <c r="J260" s="209"/>
      <c r="K260" s="209"/>
    </row>
    <row r="261" spans="1:11" ht="22.5" hidden="1">
      <c r="A261" s="211"/>
      <c r="B261" s="206" t="s">
        <v>208</v>
      </c>
      <c r="C261" s="211">
        <v>966</v>
      </c>
      <c r="D261" s="211" t="s">
        <v>89</v>
      </c>
      <c r="E261" s="211" t="s">
        <v>253</v>
      </c>
      <c r="F261" s="206">
        <v>244</v>
      </c>
      <c r="G261" s="206">
        <v>226</v>
      </c>
      <c r="H261" s="212">
        <f>200-195.9</f>
        <v>4.099999999999994</v>
      </c>
      <c r="I261" s="209"/>
      <c r="J261" s="209"/>
      <c r="K261" s="209"/>
    </row>
    <row r="262" spans="1:11" ht="22.5" hidden="1">
      <c r="A262" s="211"/>
      <c r="B262" s="206" t="s">
        <v>218</v>
      </c>
      <c r="C262" s="211">
        <v>966</v>
      </c>
      <c r="D262" s="211" t="s">
        <v>89</v>
      </c>
      <c r="E262" s="211" t="s">
        <v>253</v>
      </c>
      <c r="F262" s="206">
        <v>244</v>
      </c>
      <c r="G262" s="206">
        <v>310</v>
      </c>
      <c r="H262" s="212">
        <f>150-79.3-70</f>
        <v>0.7000000000000028</v>
      </c>
      <c r="I262" s="209"/>
      <c r="J262" s="209"/>
      <c r="K262" s="209"/>
    </row>
    <row r="263" spans="1:11" ht="22.5" hidden="1">
      <c r="A263" s="211"/>
      <c r="B263" s="206" t="s">
        <v>217</v>
      </c>
      <c r="C263" s="211">
        <v>966</v>
      </c>
      <c r="D263" s="211" t="s">
        <v>89</v>
      </c>
      <c r="E263" s="211" t="s">
        <v>253</v>
      </c>
      <c r="F263" s="206">
        <v>244</v>
      </c>
      <c r="G263" s="206">
        <v>340</v>
      </c>
      <c r="H263" s="212">
        <f>300-160</f>
        <v>140</v>
      </c>
      <c r="I263" s="209"/>
      <c r="J263" s="209"/>
      <c r="K263" s="209"/>
    </row>
    <row r="264" spans="1:11" ht="56.25" hidden="1">
      <c r="A264" s="211" t="s">
        <v>427</v>
      </c>
      <c r="B264" s="206" t="s">
        <v>264</v>
      </c>
      <c r="C264" s="211">
        <v>966</v>
      </c>
      <c r="D264" s="211" t="s">
        <v>89</v>
      </c>
      <c r="E264" s="211" t="s">
        <v>173</v>
      </c>
      <c r="F264" s="206"/>
      <c r="G264" s="206"/>
      <c r="H264" s="212">
        <f>H265</f>
        <v>330.79999999999995</v>
      </c>
      <c r="I264" s="209"/>
      <c r="J264" s="209">
        <f>J265</f>
        <v>330.7</v>
      </c>
      <c r="K264" s="209"/>
    </row>
    <row r="265" spans="1:11" ht="45" hidden="1">
      <c r="A265" s="211" t="s">
        <v>256</v>
      </c>
      <c r="B265" s="206" t="s">
        <v>199</v>
      </c>
      <c r="C265" s="211">
        <v>966</v>
      </c>
      <c r="D265" s="211" t="s">
        <v>89</v>
      </c>
      <c r="E265" s="211" t="s">
        <v>173</v>
      </c>
      <c r="F265" s="206">
        <v>200</v>
      </c>
      <c r="G265" s="206"/>
      <c r="H265" s="212">
        <f>'НЕ УДАЛЯТЬ'!H265</f>
        <v>330.79999999999995</v>
      </c>
      <c r="I265" s="209"/>
      <c r="J265" s="209">
        <v>330.7</v>
      </c>
      <c r="K265" s="209"/>
    </row>
    <row r="266" spans="1:11" ht="45" hidden="1">
      <c r="A266" s="211"/>
      <c r="B266" s="206" t="s">
        <v>199</v>
      </c>
      <c r="C266" s="211">
        <v>966</v>
      </c>
      <c r="D266" s="211" t="s">
        <v>89</v>
      </c>
      <c r="E266" s="211" t="s">
        <v>173</v>
      </c>
      <c r="F266" s="206">
        <v>244</v>
      </c>
      <c r="G266" s="206"/>
      <c r="H266" s="212">
        <v>377.4</v>
      </c>
      <c r="I266" s="209"/>
      <c r="J266" s="209"/>
      <c r="K266" s="209"/>
    </row>
    <row r="267" spans="1:11" ht="22.5" hidden="1">
      <c r="A267" s="211"/>
      <c r="B267" s="206" t="s">
        <v>208</v>
      </c>
      <c r="C267" s="211">
        <v>966</v>
      </c>
      <c r="D267" s="211" t="s">
        <v>89</v>
      </c>
      <c r="E267" s="211" t="s">
        <v>173</v>
      </c>
      <c r="F267" s="206">
        <v>244</v>
      </c>
      <c r="G267" s="206">
        <v>266</v>
      </c>
      <c r="H267" s="212">
        <v>377.4</v>
      </c>
      <c r="I267" s="209"/>
      <c r="J267" s="209"/>
      <c r="K267" s="209"/>
    </row>
    <row r="268" spans="1:11" ht="12.75">
      <c r="A268" s="211" t="s">
        <v>134</v>
      </c>
      <c r="B268" s="206" t="s">
        <v>53</v>
      </c>
      <c r="C268" s="211" t="s">
        <v>496</v>
      </c>
      <c r="D268" s="211" t="s">
        <v>486</v>
      </c>
      <c r="E268" s="274">
        <f>E269</f>
        <v>216.00000000000003</v>
      </c>
      <c r="F268" s="275"/>
      <c r="G268" s="275"/>
      <c r="H268" s="276"/>
      <c r="I268" s="209"/>
      <c r="J268" s="210">
        <f>J269</f>
        <v>216</v>
      </c>
      <c r="K268" s="210">
        <f>K269</f>
        <v>100</v>
      </c>
    </row>
    <row r="269" spans="1:11" ht="12.75">
      <c r="A269" s="211" t="s">
        <v>166</v>
      </c>
      <c r="B269" s="206" t="s">
        <v>55</v>
      </c>
      <c r="C269" s="211" t="s">
        <v>496</v>
      </c>
      <c r="D269" s="211" t="s">
        <v>495</v>
      </c>
      <c r="E269" s="274">
        <f>H270</f>
        <v>216.00000000000003</v>
      </c>
      <c r="F269" s="275"/>
      <c r="G269" s="275"/>
      <c r="H269" s="276"/>
      <c r="I269" s="209"/>
      <c r="J269" s="210">
        <f>J270</f>
        <v>216</v>
      </c>
      <c r="K269" s="210">
        <f>K275</f>
        <v>100</v>
      </c>
    </row>
    <row r="270" spans="1:11" ht="123.75" hidden="1">
      <c r="A270" s="211" t="s">
        <v>51</v>
      </c>
      <c r="B270" s="206" t="s">
        <v>113</v>
      </c>
      <c r="C270" s="206">
        <v>966</v>
      </c>
      <c r="D270" s="211" t="s">
        <v>91</v>
      </c>
      <c r="E270" s="211" t="s">
        <v>187</v>
      </c>
      <c r="F270" s="206"/>
      <c r="G270" s="206"/>
      <c r="H270" s="212">
        <f>H271</f>
        <v>216.00000000000003</v>
      </c>
      <c r="I270" s="209"/>
      <c r="J270" s="209">
        <f>J271</f>
        <v>216</v>
      </c>
      <c r="K270" s="209"/>
    </row>
    <row r="271" spans="1:11" ht="33.75" hidden="1">
      <c r="A271" s="211" t="s">
        <v>52</v>
      </c>
      <c r="B271" s="206" t="s">
        <v>24</v>
      </c>
      <c r="C271" s="206">
        <v>966</v>
      </c>
      <c r="D271" s="211" t="s">
        <v>91</v>
      </c>
      <c r="E271" s="211" t="s">
        <v>187</v>
      </c>
      <c r="F271" s="206">
        <v>200</v>
      </c>
      <c r="G271" s="206"/>
      <c r="H271" s="212">
        <f>'НЕ УДАЛЯТЬ'!H272</f>
        <v>216.00000000000003</v>
      </c>
      <c r="I271" s="209"/>
      <c r="J271" s="209">
        <v>216</v>
      </c>
      <c r="K271" s="209"/>
    </row>
    <row r="272" spans="1:11" ht="33.75" hidden="1">
      <c r="A272" s="211"/>
      <c r="B272" s="206" t="s">
        <v>108</v>
      </c>
      <c r="C272" s="206">
        <v>966</v>
      </c>
      <c r="D272" s="211" t="s">
        <v>91</v>
      </c>
      <c r="E272" s="211" t="s">
        <v>187</v>
      </c>
      <c r="F272" s="206">
        <v>240</v>
      </c>
      <c r="G272" s="206"/>
      <c r="H272" s="212">
        <f>H273</f>
        <v>455.6</v>
      </c>
      <c r="I272" s="209"/>
      <c r="J272" s="209"/>
      <c r="K272" s="209"/>
    </row>
    <row r="273" spans="1:11" ht="45" hidden="1">
      <c r="A273" s="211"/>
      <c r="B273" s="206" t="s">
        <v>199</v>
      </c>
      <c r="C273" s="206">
        <v>966</v>
      </c>
      <c r="D273" s="211" t="s">
        <v>91</v>
      </c>
      <c r="E273" s="211" t="s">
        <v>187</v>
      </c>
      <c r="F273" s="206">
        <v>244</v>
      </c>
      <c r="G273" s="206"/>
      <c r="H273" s="212">
        <f>H274</f>
        <v>455.6</v>
      </c>
      <c r="I273" s="209"/>
      <c r="J273" s="209"/>
      <c r="K273" s="209"/>
    </row>
    <row r="274" spans="1:11" ht="22.5" hidden="1">
      <c r="A274" s="211"/>
      <c r="B274" s="206" t="s">
        <v>208</v>
      </c>
      <c r="C274" s="206">
        <v>966</v>
      </c>
      <c r="D274" s="211" t="s">
        <v>91</v>
      </c>
      <c r="E274" s="211" t="s">
        <v>187</v>
      </c>
      <c r="F274" s="206">
        <v>244</v>
      </c>
      <c r="G274" s="206">
        <v>226</v>
      </c>
      <c r="H274" s="212">
        <f>755.6-300</f>
        <v>455.6</v>
      </c>
      <c r="I274" s="209"/>
      <c r="J274" s="209"/>
      <c r="K274" s="209"/>
    </row>
    <row r="275" spans="1:11" ht="12.75">
      <c r="A275" s="211" t="s">
        <v>148</v>
      </c>
      <c r="B275" s="206" t="s">
        <v>58</v>
      </c>
      <c r="C275" s="211" t="s">
        <v>497</v>
      </c>
      <c r="D275" s="211" t="s">
        <v>486</v>
      </c>
      <c r="E275" s="274">
        <f>E276</f>
        <v>33260.2</v>
      </c>
      <c r="F275" s="275"/>
      <c r="G275" s="275"/>
      <c r="H275" s="276"/>
      <c r="I275" s="209"/>
      <c r="J275" s="210">
        <f>J276</f>
        <v>33260.2</v>
      </c>
      <c r="K275" s="210">
        <f>K276</f>
        <v>100</v>
      </c>
    </row>
    <row r="276" spans="1:11" ht="12.75">
      <c r="A276" s="211" t="s">
        <v>54</v>
      </c>
      <c r="B276" s="206" t="s">
        <v>60</v>
      </c>
      <c r="C276" s="211" t="s">
        <v>497</v>
      </c>
      <c r="D276" s="211" t="s">
        <v>500</v>
      </c>
      <c r="E276" s="274">
        <f>H277+H283</f>
        <v>33260.2</v>
      </c>
      <c r="F276" s="275"/>
      <c r="G276" s="275"/>
      <c r="H276" s="276"/>
      <c r="I276" s="209"/>
      <c r="J276" s="210">
        <f>J277+J283</f>
        <v>33260.2</v>
      </c>
      <c r="K276" s="210">
        <f>J276/E276*100</f>
        <v>100</v>
      </c>
    </row>
    <row r="277" spans="1:11" ht="56.25" hidden="1">
      <c r="A277" s="211" t="s">
        <v>56</v>
      </c>
      <c r="B277" s="206" t="s">
        <v>122</v>
      </c>
      <c r="C277" s="206">
        <v>966</v>
      </c>
      <c r="D277" s="211" t="s">
        <v>93</v>
      </c>
      <c r="E277" s="211" t="s">
        <v>188</v>
      </c>
      <c r="F277" s="206"/>
      <c r="G277" s="206"/>
      <c r="H277" s="212">
        <f>H278</f>
        <v>32860.2</v>
      </c>
      <c r="I277" s="209"/>
      <c r="J277" s="209">
        <f>J278</f>
        <v>32860.2</v>
      </c>
      <c r="K277" s="209"/>
    </row>
    <row r="278" spans="1:11" ht="33.75" hidden="1">
      <c r="A278" s="211" t="s">
        <v>57</v>
      </c>
      <c r="B278" s="206" t="s">
        <v>24</v>
      </c>
      <c r="C278" s="206">
        <v>966</v>
      </c>
      <c r="D278" s="211" t="s">
        <v>93</v>
      </c>
      <c r="E278" s="211" t="s">
        <v>188</v>
      </c>
      <c r="F278" s="206">
        <v>200</v>
      </c>
      <c r="G278" s="206"/>
      <c r="H278" s="212">
        <f>'НЕ УДАЛЯТЬ'!H279</f>
        <v>32860.2</v>
      </c>
      <c r="I278" s="209"/>
      <c r="J278" s="209">
        <v>32860.2</v>
      </c>
      <c r="K278" s="209"/>
    </row>
    <row r="279" spans="1:11" ht="33.75" hidden="1">
      <c r="A279" s="211"/>
      <c r="B279" s="206" t="s">
        <v>108</v>
      </c>
      <c r="C279" s="206">
        <v>966</v>
      </c>
      <c r="D279" s="211" t="s">
        <v>93</v>
      </c>
      <c r="E279" s="211" t="s">
        <v>188</v>
      </c>
      <c r="F279" s="206">
        <v>240</v>
      </c>
      <c r="G279" s="206"/>
      <c r="H279" s="212">
        <f>H280</f>
        <v>27554.800000000003</v>
      </c>
      <c r="I279" s="209"/>
      <c r="J279" s="209"/>
      <c r="K279" s="209"/>
    </row>
    <row r="280" spans="1:11" ht="45" hidden="1">
      <c r="A280" s="211"/>
      <c r="B280" s="206" t="s">
        <v>199</v>
      </c>
      <c r="C280" s="206">
        <v>966</v>
      </c>
      <c r="D280" s="211" t="s">
        <v>93</v>
      </c>
      <c r="E280" s="211" t="s">
        <v>188</v>
      </c>
      <c r="F280" s="206">
        <v>244</v>
      </c>
      <c r="G280" s="206"/>
      <c r="H280" s="212">
        <f>SUM(H281:H282)</f>
        <v>27554.800000000003</v>
      </c>
      <c r="I280" s="209"/>
      <c r="J280" s="209"/>
      <c r="K280" s="209"/>
    </row>
    <row r="281" spans="1:11" ht="22.5" hidden="1">
      <c r="A281" s="211"/>
      <c r="B281" s="206" t="s">
        <v>208</v>
      </c>
      <c r="C281" s="206">
        <v>966</v>
      </c>
      <c r="D281" s="211" t="s">
        <v>93</v>
      </c>
      <c r="E281" s="211" t="s">
        <v>188</v>
      </c>
      <c r="F281" s="206">
        <v>244</v>
      </c>
      <c r="G281" s="206">
        <v>226</v>
      </c>
      <c r="H281" s="212">
        <f>620-620</f>
        <v>0</v>
      </c>
      <c r="I281" s="209"/>
      <c r="J281" s="209"/>
      <c r="K281" s="209"/>
    </row>
    <row r="282" spans="1:11" ht="22.5" hidden="1">
      <c r="A282" s="211"/>
      <c r="B282" s="206" t="s">
        <v>203</v>
      </c>
      <c r="C282" s="206">
        <v>966</v>
      </c>
      <c r="D282" s="211" t="s">
        <v>93</v>
      </c>
      <c r="E282" s="211" t="s">
        <v>188</v>
      </c>
      <c r="F282" s="206">
        <v>244</v>
      </c>
      <c r="G282" s="206">
        <v>290</v>
      </c>
      <c r="H282" s="212">
        <f>8333.4+500.3+5988.1+1159.7+3006.4+2429-2420+620+7937.9</f>
        <v>27554.800000000003</v>
      </c>
      <c r="I282" s="209" t="s">
        <v>251</v>
      </c>
      <c r="J282" s="209"/>
      <c r="K282" s="209"/>
    </row>
    <row r="283" spans="1:11" ht="45" hidden="1">
      <c r="A283" s="211" t="s">
        <v>149</v>
      </c>
      <c r="B283" s="206" t="s">
        <v>123</v>
      </c>
      <c r="C283" s="206">
        <v>966</v>
      </c>
      <c r="D283" s="211" t="s">
        <v>93</v>
      </c>
      <c r="E283" s="211" t="s">
        <v>189</v>
      </c>
      <c r="F283" s="206"/>
      <c r="G283" s="206"/>
      <c r="H283" s="212">
        <f>H284</f>
        <v>400</v>
      </c>
      <c r="I283" s="209"/>
      <c r="J283" s="210">
        <f>J284</f>
        <v>400</v>
      </c>
      <c r="K283" s="209"/>
    </row>
    <row r="284" spans="1:11" ht="33.75" hidden="1">
      <c r="A284" s="211" t="s">
        <v>150</v>
      </c>
      <c r="B284" s="206" t="s">
        <v>24</v>
      </c>
      <c r="C284" s="206">
        <v>966</v>
      </c>
      <c r="D284" s="211" t="s">
        <v>93</v>
      </c>
      <c r="E284" s="211" t="s">
        <v>189</v>
      </c>
      <c r="F284" s="206">
        <v>200</v>
      </c>
      <c r="G284" s="206"/>
      <c r="H284" s="212">
        <f>'НЕ УДАЛЯТЬ'!H285</f>
        <v>400</v>
      </c>
      <c r="I284" s="209"/>
      <c r="J284" s="210">
        <f>H284</f>
        <v>400</v>
      </c>
      <c r="K284" s="209"/>
    </row>
    <row r="285" spans="1:11" ht="33.75" hidden="1">
      <c r="A285" s="211"/>
      <c r="B285" s="206" t="s">
        <v>108</v>
      </c>
      <c r="C285" s="206">
        <v>966</v>
      </c>
      <c r="D285" s="211" t="s">
        <v>93</v>
      </c>
      <c r="E285" s="211" t="s">
        <v>189</v>
      </c>
      <c r="F285" s="206">
        <v>240</v>
      </c>
      <c r="G285" s="206"/>
      <c r="H285" s="212">
        <f>H286</f>
        <v>400</v>
      </c>
      <c r="I285" s="209"/>
      <c r="J285" s="209"/>
      <c r="K285" s="209"/>
    </row>
    <row r="286" spans="1:11" ht="45" hidden="1">
      <c r="A286" s="211"/>
      <c r="B286" s="206" t="s">
        <v>199</v>
      </c>
      <c r="C286" s="206">
        <v>966</v>
      </c>
      <c r="D286" s="211" t="s">
        <v>93</v>
      </c>
      <c r="E286" s="211" t="s">
        <v>189</v>
      </c>
      <c r="F286" s="206">
        <v>244</v>
      </c>
      <c r="G286" s="206"/>
      <c r="H286" s="212">
        <f>H287</f>
        <v>400</v>
      </c>
      <c r="I286" s="209"/>
      <c r="J286" s="209"/>
      <c r="K286" s="209"/>
    </row>
    <row r="287" spans="1:11" ht="22.5" hidden="1">
      <c r="A287" s="211"/>
      <c r="B287" s="206" t="s">
        <v>203</v>
      </c>
      <c r="C287" s="206">
        <v>966</v>
      </c>
      <c r="D287" s="211" t="s">
        <v>93</v>
      </c>
      <c r="E287" s="211" t="s">
        <v>189</v>
      </c>
      <c r="F287" s="206">
        <v>244</v>
      </c>
      <c r="G287" s="206">
        <v>290</v>
      </c>
      <c r="H287" s="212">
        <f>570-170</f>
        <v>400</v>
      </c>
      <c r="I287" s="209"/>
      <c r="J287" s="209"/>
      <c r="K287" s="209"/>
    </row>
    <row r="288" spans="1:11" ht="12.75">
      <c r="A288" s="211" t="s">
        <v>151</v>
      </c>
      <c r="B288" s="206" t="s">
        <v>62</v>
      </c>
      <c r="C288" s="211" t="s">
        <v>498</v>
      </c>
      <c r="D288" s="211" t="s">
        <v>486</v>
      </c>
      <c r="E288" s="274">
        <f>E289+E295</f>
        <v>9779.519999999999</v>
      </c>
      <c r="F288" s="275"/>
      <c r="G288" s="275"/>
      <c r="H288" s="276"/>
      <c r="I288" s="209"/>
      <c r="J288" s="210">
        <f>J289+J295</f>
        <v>8682.92</v>
      </c>
      <c r="K288" s="210">
        <f>J288/E288*100</f>
        <v>88.7867707208534</v>
      </c>
    </row>
    <row r="289" spans="1:11" ht="14.25" customHeight="1">
      <c r="A289" s="211" t="s">
        <v>59</v>
      </c>
      <c r="B289" s="206" t="s">
        <v>64</v>
      </c>
      <c r="C289" s="206">
        <v>10</v>
      </c>
      <c r="D289" s="211" t="s">
        <v>488</v>
      </c>
      <c r="E289" s="274">
        <f>H290</f>
        <v>397.82</v>
      </c>
      <c r="F289" s="275"/>
      <c r="G289" s="275"/>
      <c r="H289" s="276"/>
      <c r="I289" s="209"/>
      <c r="J289" s="210">
        <f>J290</f>
        <v>397.82</v>
      </c>
      <c r="K289" s="210">
        <f>K304</f>
        <v>100</v>
      </c>
    </row>
    <row r="290" spans="1:11" ht="78.75" hidden="1">
      <c r="A290" s="211" t="s">
        <v>61</v>
      </c>
      <c r="B290" s="206" t="s">
        <v>99</v>
      </c>
      <c r="C290" s="206">
        <v>966</v>
      </c>
      <c r="D290" s="211">
        <v>1003</v>
      </c>
      <c r="E290" s="211" t="s">
        <v>190</v>
      </c>
      <c r="F290" s="206"/>
      <c r="G290" s="206"/>
      <c r="H290" s="212">
        <f>H291</f>
        <v>397.82</v>
      </c>
      <c r="I290" s="209"/>
      <c r="J290" s="210">
        <f>J291</f>
        <v>397.82</v>
      </c>
      <c r="K290" s="209"/>
    </row>
    <row r="291" spans="1:11" ht="22.5" hidden="1">
      <c r="A291" s="211" t="s">
        <v>152</v>
      </c>
      <c r="B291" s="206" t="s">
        <v>100</v>
      </c>
      <c r="C291" s="206">
        <v>966</v>
      </c>
      <c r="D291" s="211">
        <v>1003</v>
      </c>
      <c r="E291" s="211" t="s">
        <v>190</v>
      </c>
      <c r="F291" s="206">
        <v>300</v>
      </c>
      <c r="G291" s="206"/>
      <c r="H291" s="212">
        <f>'НЕ УДАЛЯТЬ'!H292</f>
        <v>397.82</v>
      </c>
      <c r="I291" s="209"/>
      <c r="J291" s="210">
        <f>H291</f>
        <v>397.82</v>
      </c>
      <c r="K291" s="209"/>
    </row>
    <row r="292" spans="1:11" ht="22.5" hidden="1">
      <c r="A292" s="211"/>
      <c r="B292" s="206" t="s">
        <v>102</v>
      </c>
      <c r="C292" s="206">
        <v>966</v>
      </c>
      <c r="D292" s="211">
        <v>1003</v>
      </c>
      <c r="E292" s="211" t="s">
        <v>190</v>
      </c>
      <c r="F292" s="206">
        <v>310</v>
      </c>
      <c r="G292" s="206"/>
      <c r="H292" s="212">
        <f>H293</f>
        <v>397.82</v>
      </c>
      <c r="I292" s="209"/>
      <c r="J292" s="209"/>
      <c r="K292" s="209"/>
    </row>
    <row r="293" spans="1:11" ht="22.5" hidden="1">
      <c r="A293" s="211"/>
      <c r="B293" s="209" t="s">
        <v>201</v>
      </c>
      <c r="C293" s="206">
        <v>966</v>
      </c>
      <c r="D293" s="211">
        <v>1003</v>
      </c>
      <c r="E293" s="211" t="s">
        <v>190</v>
      </c>
      <c r="F293" s="206">
        <v>312</v>
      </c>
      <c r="G293" s="206"/>
      <c r="H293" s="212">
        <f>H294</f>
        <v>397.82</v>
      </c>
      <c r="I293" s="209"/>
      <c r="J293" s="209"/>
      <c r="K293" s="209"/>
    </row>
    <row r="294" spans="1:11" ht="33.75" hidden="1">
      <c r="A294" s="211"/>
      <c r="B294" s="206" t="s">
        <v>242</v>
      </c>
      <c r="C294" s="206">
        <v>966</v>
      </c>
      <c r="D294" s="211">
        <v>1003</v>
      </c>
      <c r="E294" s="211" t="s">
        <v>190</v>
      </c>
      <c r="F294" s="206">
        <v>312</v>
      </c>
      <c r="G294" s="206">
        <v>263</v>
      </c>
      <c r="H294" s="212">
        <f>405.32-7.5</f>
        <v>397.82</v>
      </c>
      <c r="I294" s="209"/>
      <c r="J294" s="209"/>
      <c r="K294" s="209"/>
    </row>
    <row r="295" spans="1:11" ht="12.75">
      <c r="A295" s="211" t="s">
        <v>153</v>
      </c>
      <c r="B295" s="206" t="s">
        <v>66</v>
      </c>
      <c r="C295" s="206">
        <v>10</v>
      </c>
      <c r="D295" s="211" t="s">
        <v>489</v>
      </c>
      <c r="E295" s="274">
        <f>H296+H300</f>
        <v>9381.699999999999</v>
      </c>
      <c r="F295" s="275"/>
      <c r="G295" s="275"/>
      <c r="H295" s="276"/>
      <c r="I295" s="209"/>
      <c r="J295" s="209">
        <f>J296+J300</f>
        <v>8285.1</v>
      </c>
      <c r="K295" s="210">
        <f>J295/E295*100</f>
        <v>88.31128686698574</v>
      </c>
    </row>
    <row r="296" spans="1:11" ht="78.75" hidden="1">
      <c r="A296" s="211" t="s">
        <v>154</v>
      </c>
      <c r="B296" s="206" t="s">
        <v>126</v>
      </c>
      <c r="C296" s="206">
        <v>966</v>
      </c>
      <c r="D296" s="211">
        <v>1004</v>
      </c>
      <c r="E296" s="211" t="s">
        <v>245</v>
      </c>
      <c r="F296" s="206"/>
      <c r="G296" s="206"/>
      <c r="H296" s="212">
        <f>H297</f>
        <v>6793.099999999999</v>
      </c>
      <c r="I296" s="209"/>
      <c r="J296" s="209">
        <f>J297</f>
        <v>5763.5</v>
      </c>
      <c r="K296" s="209"/>
    </row>
    <row r="297" spans="1:11" ht="22.5" hidden="1">
      <c r="A297" s="211" t="s">
        <v>155</v>
      </c>
      <c r="B297" s="206" t="s">
        <v>100</v>
      </c>
      <c r="C297" s="206">
        <v>966</v>
      </c>
      <c r="D297" s="211">
        <v>1004</v>
      </c>
      <c r="E297" s="211" t="s">
        <v>245</v>
      </c>
      <c r="F297" s="206">
        <v>300</v>
      </c>
      <c r="G297" s="206"/>
      <c r="H297" s="212">
        <f>'НЕ УДАЛЯТЬ'!H298</f>
        <v>6793.099999999999</v>
      </c>
      <c r="I297" s="209"/>
      <c r="J297" s="209">
        <v>5763.5</v>
      </c>
      <c r="K297" s="209"/>
    </row>
    <row r="298" spans="1:11" ht="22.5" hidden="1">
      <c r="A298" s="211"/>
      <c r="B298" s="206" t="s">
        <v>102</v>
      </c>
      <c r="C298" s="206">
        <v>966</v>
      </c>
      <c r="D298" s="211">
        <v>1004</v>
      </c>
      <c r="E298" s="211" t="s">
        <v>245</v>
      </c>
      <c r="F298" s="206">
        <v>310</v>
      </c>
      <c r="G298" s="206"/>
      <c r="H298" s="212">
        <f>H299</f>
        <v>6793.099999999999</v>
      </c>
      <c r="I298" s="209"/>
      <c r="J298" s="209"/>
      <c r="K298" s="209"/>
    </row>
    <row r="299" spans="1:11" ht="33.75" hidden="1">
      <c r="A299" s="211"/>
      <c r="B299" s="206" t="s">
        <v>200</v>
      </c>
      <c r="C299" s="206">
        <v>966</v>
      </c>
      <c r="D299" s="211">
        <v>1004</v>
      </c>
      <c r="E299" s="211" t="s">
        <v>245</v>
      </c>
      <c r="F299" s="206">
        <v>313</v>
      </c>
      <c r="G299" s="206">
        <v>262</v>
      </c>
      <c r="H299" s="212">
        <f>5915.9+695.3+181.9</f>
        <v>6793.099999999999</v>
      </c>
      <c r="I299" s="209"/>
      <c r="J299" s="209"/>
      <c r="K299" s="209"/>
    </row>
    <row r="300" spans="1:11" ht="67.5" hidden="1">
      <c r="A300" s="211" t="s">
        <v>156</v>
      </c>
      <c r="B300" s="206" t="s">
        <v>125</v>
      </c>
      <c r="C300" s="206">
        <v>966</v>
      </c>
      <c r="D300" s="211">
        <v>1004</v>
      </c>
      <c r="E300" s="211" t="s">
        <v>246</v>
      </c>
      <c r="F300" s="206"/>
      <c r="G300" s="206"/>
      <c r="H300" s="212">
        <f>H302</f>
        <v>2588.6</v>
      </c>
      <c r="I300" s="209"/>
      <c r="J300" s="209">
        <f>J301</f>
        <v>2521.6</v>
      </c>
      <c r="K300" s="209"/>
    </row>
    <row r="301" spans="1:11" ht="22.5" hidden="1">
      <c r="A301" s="211" t="s">
        <v>157</v>
      </c>
      <c r="B301" s="206" t="s">
        <v>451</v>
      </c>
      <c r="C301" s="206">
        <v>966</v>
      </c>
      <c r="D301" s="211">
        <v>1004</v>
      </c>
      <c r="E301" s="211" t="s">
        <v>246</v>
      </c>
      <c r="F301" s="206">
        <v>300</v>
      </c>
      <c r="G301" s="206"/>
      <c r="H301" s="212">
        <f>'НЕ УДАЛЯТЬ'!H302</f>
        <v>2588.6</v>
      </c>
      <c r="I301" s="209"/>
      <c r="J301" s="209">
        <v>2521.6</v>
      </c>
      <c r="K301" s="209"/>
    </row>
    <row r="302" spans="1:11" ht="22.5" hidden="1">
      <c r="A302" s="211"/>
      <c r="B302" s="209" t="s">
        <v>110</v>
      </c>
      <c r="C302" s="206">
        <v>966</v>
      </c>
      <c r="D302" s="211">
        <v>1004</v>
      </c>
      <c r="E302" s="211" t="s">
        <v>246</v>
      </c>
      <c r="F302" s="206">
        <v>323</v>
      </c>
      <c r="G302" s="206"/>
      <c r="H302" s="212">
        <f>H303</f>
        <v>2588.6</v>
      </c>
      <c r="I302" s="209"/>
      <c r="J302" s="209"/>
      <c r="K302" s="209"/>
    </row>
    <row r="303" spans="1:11" ht="33.75" hidden="1">
      <c r="A303" s="211"/>
      <c r="B303" s="206" t="s">
        <v>200</v>
      </c>
      <c r="C303" s="206">
        <v>966</v>
      </c>
      <c r="D303" s="211">
        <v>1004</v>
      </c>
      <c r="E303" s="211" t="s">
        <v>246</v>
      </c>
      <c r="F303" s="206">
        <v>323</v>
      </c>
      <c r="G303" s="206">
        <v>226</v>
      </c>
      <c r="H303" s="212">
        <f>3333.7-325.4-419.7</f>
        <v>2588.6</v>
      </c>
      <c r="I303" s="209"/>
      <c r="J303" s="209"/>
      <c r="K303" s="209"/>
    </row>
    <row r="304" spans="1:11" ht="16.5" customHeight="1">
      <c r="A304" s="211" t="s">
        <v>158</v>
      </c>
      <c r="B304" s="206" t="s">
        <v>67</v>
      </c>
      <c r="C304" s="206">
        <v>11</v>
      </c>
      <c r="D304" s="211" t="s">
        <v>486</v>
      </c>
      <c r="E304" s="274">
        <f>E308+E305</f>
        <v>2080</v>
      </c>
      <c r="F304" s="275"/>
      <c r="G304" s="275"/>
      <c r="H304" s="276"/>
      <c r="I304" s="209"/>
      <c r="J304" s="210">
        <f>J305+J308</f>
        <v>2080</v>
      </c>
      <c r="K304" s="210">
        <f>K305</f>
        <v>100</v>
      </c>
    </row>
    <row r="305" spans="1:11" ht="12.75">
      <c r="A305" s="211" t="s">
        <v>63</v>
      </c>
      <c r="B305" s="206" t="s">
        <v>420</v>
      </c>
      <c r="C305" s="206">
        <v>11</v>
      </c>
      <c r="D305" s="211" t="s">
        <v>500</v>
      </c>
      <c r="E305" s="274">
        <f>H306</f>
        <v>440</v>
      </c>
      <c r="F305" s="275"/>
      <c r="G305" s="275"/>
      <c r="H305" s="276"/>
      <c r="I305" s="209"/>
      <c r="J305" s="210">
        <f>J306</f>
        <v>440</v>
      </c>
      <c r="K305" s="210">
        <f>K308</f>
        <v>100</v>
      </c>
    </row>
    <row r="306" spans="1:11" ht="146.25" hidden="1">
      <c r="A306" s="211" t="s">
        <v>65</v>
      </c>
      <c r="B306" s="206" t="s">
        <v>127</v>
      </c>
      <c r="C306" s="206">
        <v>966</v>
      </c>
      <c r="D306" s="211" t="s">
        <v>419</v>
      </c>
      <c r="E306" s="211" t="s">
        <v>248</v>
      </c>
      <c r="F306" s="206"/>
      <c r="G306" s="206"/>
      <c r="H306" s="212">
        <f>H307</f>
        <v>440</v>
      </c>
      <c r="I306" s="209"/>
      <c r="J306" s="210">
        <f>J307</f>
        <v>440</v>
      </c>
      <c r="K306" s="209"/>
    </row>
    <row r="307" spans="1:11" ht="33.75" hidden="1">
      <c r="A307" s="211" t="s">
        <v>159</v>
      </c>
      <c r="B307" s="206" t="s">
        <v>24</v>
      </c>
      <c r="C307" s="206">
        <v>966</v>
      </c>
      <c r="D307" s="211" t="s">
        <v>419</v>
      </c>
      <c r="E307" s="211" t="s">
        <v>248</v>
      </c>
      <c r="F307" s="206">
        <v>200</v>
      </c>
      <c r="G307" s="206"/>
      <c r="H307" s="212">
        <f>'НЕ УДАЛЯТЬ'!H309</f>
        <v>440</v>
      </c>
      <c r="I307" s="209"/>
      <c r="J307" s="210">
        <f>H307</f>
        <v>440</v>
      </c>
      <c r="K307" s="209"/>
    </row>
    <row r="308" spans="1:11" ht="12.75">
      <c r="A308" s="211" t="s">
        <v>298</v>
      </c>
      <c r="B308" s="206" t="s">
        <v>69</v>
      </c>
      <c r="C308" s="206">
        <v>11</v>
      </c>
      <c r="D308" s="211" t="s">
        <v>487</v>
      </c>
      <c r="E308" s="274">
        <f>H309</f>
        <v>1640</v>
      </c>
      <c r="F308" s="275"/>
      <c r="G308" s="275"/>
      <c r="H308" s="276"/>
      <c r="I308" s="209"/>
      <c r="J308" s="210">
        <f>J309</f>
        <v>1640</v>
      </c>
      <c r="K308" s="210">
        <f>K314</f>
        <v>100</v>
      </c>
    </row>
    <row r="309" spans="1:11" ht="146.25" hidden="1">
      <c r="A309" s="211" t="s">
        <v>428</v>
      </c>
      <c r="B309" s="206" t="s">
        <v>127</v>
      </c>
      <c r="C309" s="206">
        <v>966</v>
      </c>
      <c r="D309" s="211">
        <v>1102</v>
      </c>
      <c r="E309" s="211" t="s">
        <v>248</v>
      </c>
      <c r="F309" s="206"/>
      <c r="G309" s="206"/>
      <c r="H309" s="212">
        <f>H310</f>
        <v>1640</v>
      </c>
      <c r="I309" s="209"/>
      <c r="J309" s="210">
        <f>J310</f>
        <v>1640</v>
      </c>
      <c r="K309" s="209"/>
    </row>
    <row r="310" spans="1:11" ht="33.75" hidden="1">
      <c r="A310" s="211" t="s">
        <v>429</v>
      </c>
      <c r="B310" s="206" t="s">
        <v>24</v>
      </c>
      <c r="C310" s="206">
        <v>966</v>
      </c>
      <c r="D310" s="211">
        <v>1102</v>
      </c>
      <c r="E310" s="211" t="s">
        <v>248</v>
      </c>
      <c r="F310" s="206">
        <v>200</v>
      </c>
      <c r="G310" s="206"/>
      <c r="H310" s="212">
        <f>'НЕ УДАЛЯТЬ'!H314</f>
        <v>1640</v>
      </c>
      <c r="I310" s="209"/>
      <c r="J310" s="210">
        <f>H310</f>
        <v>1640</v>
      </c>
      <c r="K310" s="209"/>
    </row>
    <row r="311" spans="1:11" ht="33.75" hidden="1">
      <c r="A311" s="211"/>
      <c r="B311" s="206" t="s">
        <v>108</v>
      </c>
      <c r="C311" s="206">
        <v>966</v>
      </c>
      <c r="D311" s="211">
        <v>1102</v>
      </c>
      <c r="E311" s="211" t="s">
        <v>248</v>
      </c>
      <c r="F311" s="206">
        <v>240</v>
      </c>
      <c r="G311" s="206"/>
      <c r="H311" s="212">
        <f>H312</f>
        <v>600</v>
      </c>
      <c r="I311" s="209"/>
      <c r="J311" s="209"/>
      <c r="K311" s="209"/>
    </row>
    <row r="312" spans="1:11" ht="45" hidden="1">
      <c r="A312" s="211"/>
      <c r="B312" s="206" t="s">
        <v>199</v>
      </c>
      <c r="C312" s="206">
        <v>966</v>
      </c>
      <c r="D312" s="211">
        <v>1102</v>
      </c>
      <c r="E312" s="211" t="s">
        <v>248</v>
      </c>
      <c r="F312" s="206">
        <v>244</v>
      </c>
      <c r="G312" s="206"/>
      <c r="H312" s="212">
        <f>H313</f>
        <v>600</v>
      </c>
      <c r="I312" s="209"/>
      <c r="J312" s="209"/>
      <c r="K312" s="209"/>
    </row>
    <row r="313" spans="1:11" ht="22.5" hidden="1">
      <c r="A313" s="211"/>
      <c r="B313" s="206" t="s">
        <v>203</v>
      </c>
      <c r="C313" s="206">
        <v>966</v>
      </c>
      <c r="D313" s="211">
        <v>1102</v>
      </c>
      <c r="E313" s="211" t="s">
        <v>248</v>
      </c>
      <c r="F313" s="206">
        <v>244</v>
      </c>
      <c r="G313" s="206">
        <v>290</v>
      </c>
      <c r="H313" s="212">
        <f>200+400</f>
        <v>600</v>
      </c>
      <c r="I313" s="209"/>
      <c r="J313" s="209"/>
      <c r="K313" s="209"/>
    </row>
    <row r="314" spans="1:11" ht="13.5" customHeight="1">
      <c r="A314" s="211" t="s">
        <v>160</v>
      </c>
      <c r="B314" s="206" t="s">
        <v>72</v>
      </c>
      <c r="C314" s="206">
        <v>12</v>
      </c>
      <c r="D314" s="211" t="s">
        <v>486</v>
      </c>
      <c r="E314" s="274">
        <f>E315</f>
        <v>1649.2</v>
      </c>
      <c r="F314" s="275"/>
      <c r="G314" s="275"/>
      <c r="H314" s="276"/>
      <c r="I314" s="209"/>
      <c r="J314" s="209">
        <f>J315</f>
        <v>1649.2</v>
      </c>
      <c r="K314" s="210">
        <f>K315</f>
        <v>100</v>
      </c>
    </row>
    <row r="315" spans="1:11" ht="14.25" customHeight="1">
      <c r="A315" s="211" t="s">
        <v>68</v>
      </c>
      <c r="B315" s="206" t="s">
        <v>73</v>
      </c>
      <c r="C315" s="206">
        <v>12</v>
      </c>
      <c r="D315" s="211" t="s">
        <v>487</v>
      </c>
      <c r="E315" s="274">
        <f>H316</f>
        <v>1649.2</v>
      </c>
      <c r="F315" s="275"/>
      <c r="G315" s="275"/>
      <c r="H315" s="276"/>
      <c r="I315" s="209"/>
      <c r="J315" s="209">
        <f>J316</f>
        <v>1649.2</v>
      </c>
      <c r="K315" s="210">
        <v>100</v>
      </c>
    </row>
    <row r="316" spans="1:11" ht="180" hidden="1">
      <c r="A316" s="211" t="s">
        <v>70</v>
      </c>
      <c r="B316" s="206" t="s">
        <v>111</v>
      </c>
      <c r="C316" s="206">
        <v>966</v>
      </c>
      <c r="D316" s="211">
        <v>1202</v>
      </c>
      <c r="E316" s="211" t="s">
        <v>191</v>
      </c>
      <c r="F316" s="206"/>
      <c r="G316" s="206"/>
      <c r="H316" s="212">
        <f>H317</f>
        <v>1649.2</v>
      </c>
      <c r="I316" s="209"/>
      <c r="J316" s="209">
        <f>J317</f>
        <v>1649.2</v>
      </c>
      <c r="K316" s="209"/>
    </row>
    <row r="317" spans="1:11" ht="33.75" hidden="1">
      <c r="A317" s="211" t="s">
        <v>71</v>
      </c>
      <c r="B317" s="206" t="s">
        <v>24</v>
      </c>
      <c r="C317" s="206">
        <v>966</v>
      </c>
      <c r="D317" s="211">
        <v>1202</v>
      </c>
      <c r="E317" s="211" t="s">
        <v>191</v>
      </c>
      <c r="F317" s="206">
        <v>200</v>
      </c>
      <c r="G317" s="206"/>
      <c r="H317" s="212">
        <f>'НЕ УДАЛЯТЬ'!H321</f>
        <v>1649.2</v>
      </c>
      <c r="I317" s="209"/>
      <c r="J317" s="209">
        <f>1649.2</f>
        <v>1649.2</v>
      </c>
      <c r="K317" s="209"/>
    </row>
    <row r="318" spans="1:11" ht="33.75" hidden="1">
      <c r="A318" s="211"/>
      <c r="B318" s="206" t="s">
        <v>108</v>
      </c>
      <c r="C318" s="206">
        <v>966</v>
      </c>
      <c r="D318" s="211">
        <v>1202</v>
      </c>
      <c r="E318" s="211" t="s">
        <v>191</v>
      </c>
      <c r="F318" s="206">
        <v>240</v>
      </c>
      <c r="G318" s="206"/>
      <c r="H318" s="212">
        <f>H319</f>
        <v>1650.4</v>
      </c>
      <c r="I318" s="209"/>
      <c r="J318" s="209"/>
      <c r="K318" s="209"/>
    </row>
    <row r="319" spans="1:11" ht="45" hidden="1">
      <c r="A319" s="211"/>
      <c r="B319" s="206" t="s">
        <v>199</v>
      </c>
      <c r="C319" s="206">
        <v>966</v>
      </c>
      <c r="D319" s="211">
        <v>1202</v>
      </c>
      <c r="E319" s="211" t="s">
        <v>191</v>
      </c>
      <c r="F319" s="206">
        <v>244</v>
      </c>
      <c r="G319" s="206"/>
      <c r="H319" s="212">
        <f>H320+H321</f>
        <v>1650.4</v>
      </c>
      <c r="I319" s="209"/>
      <c r="J319" s="209"/>
      <c r="K319" s="209"/>
    </row>
    <row r="320" spans="1:11" ht="22.5" hidden="1">
      <c r="A320" s="211"/>
      <c r="B320" s="206" t="s">
        <v>208</v>
      </c>
      <c r="C320" s="206">
        <v>966</v>
      </c>
      <c r="D320" s="211">
        <v>1202</v>
      </c>
      <c r="E320" s="211" t="s">
        <v>191</v>
      </c>
      <c r="F320" s="206">
        <v>244</v>
      </c>
      <c r="G320" s="206">
        <v>226</v>
      </c>
      <c r="H320" s="212">
        <v>145.1</v>
      </c>
      <c r="I320" s="209"/>
      <c r="J320" s="209"/>
      <c r="K320" s="209"/>
    </row>
    <row r="321" spans="1:11" ht="22.5" hidden="1">
      <c r="A321" s="211"/>
      <c r="B321" s="206" t="s">
        <v>217</v>
      </c>
      <c r="C321" s="206">
        <v>966</v>
      </c>
      <c r="D321" s="211">
        <v>1202</v>
      </c>
      <c r="E321" s="211" t="s">
        <v>191</v>
      </c>
      <c r="F321" s="206">
        <v>244</v>
      </c>
      <c r="G321" s="206">
        <v>340</v>
      </c>
      <c r="H321" s="212">
        <f>2854.9-490-859.6</f>
        <v>1505.3000000000002</v>
      </c>
      <c r="I321" s="209" t="s">
        <v>251</v>
      </c>
      <c r="J321" s="209"/>
      <c r="K321" s="209"/>
    </row>
    <row r="322" spans="1:11" ht="12.75">
      <c r="A322" s="211"/>
      <c r="B322" s="206" t="s">
        <v>74</v>
      </c>
      <c r="C322" s="206"/>
      <c r="D322" s="206"/>
      <c r="E322" s="274">
        <f>H52+E12</f>
        <v>115592.42</v>
      </c>
      <c r="F322" s="275"/>
      <c r="G322" s="275"/>
      <c r="H322" s="276"/>
      <c r="I322" s="209"/>
      <c r="J322" s="209">
        <v>114320.2</v>
      </c>
      <c r="K322" s="210">
        <f>J322/E322*100</f>
        <v>98.89939149989246</v>
      </c>
    </row>
  </sheetData>
  <sheetProtection/>
  <mergeCells count="29">
    <mergeCell ref="E315:H315"/>
    <mergeCell ref="E322:H322"/>
    <mergeCell ref="D1:K1"/>
    <mergeCell ref="B2:K2"/>
    <mergeCell ref="B3:K3"/>
    <mergeCell ref="B4:K4"/>
    <mergeCell ref="B5:K5"/>
    <mergeCell ref="E289:H289"/>
    <mergeCell ref="E295:H295"/>
    <mergeCell ref="E304:H304"/>
    <mergeCell ref="E314:H314"/>
    <mergeCell ref="E201:H201"/>
    <mergeCell ref="E268:H268"/>
    <mergeCell ref="E269:H269"/>
    <mergeCell ref="E275:H275"/>
    <mergeCell ref="E276:H276"/>
    <mergeCell ref="E288:H288"/>
    <mergeCell ref="E125:H125"/>
    <mergeCell ref="E186:H186"/>
    <mergeCell ref="E187:H187"/>
    <mergeCell ref="E200:H200"/>
    <mergeCell ref="E305:H305"/>
    <mergeCell ref="E308:H308"/>
    <mergeCell ref="E11:H11"/>
    <mergeCell ref="E12:H12"/>
    <mergeCell ref="E14:H14"/>
    <mergeCell ref="B10:F10"/>
    <mergeCell ref="E22:H22"/>
    <mergeCell ref="E54:H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9">
      <selection activeCell="K6" sqref="K6"/>
    </sheetView>
  </sheetViews>
  <sheetFormatPr defaultColWidth="9.00390625" defaultRowHeight="12.75"/>
  <cols>
    <col min="1" max="1" width="16.00390625" style="0" customWidth="1"/>
    <col min="2" max="2" width="18.125" style="0" customWidth="1"/>
    <col min="3" max="3" width="25.00390625" style="0" customWidth="1"/>
    <col min="4" max="4" width="15.25390625" style="0" customWidth="1"/>
    <col min="6" max="6" width="11.625" style="0" customWidth="1"/>
    <col min="11" max="11" width="17.25390625" style="0" customWidth="1"/>
    <col min="13" max="13" width="20.25390625" style="0" customWidth="1"/>
  </cols>
  <sheetData>
    <row r="1" spans="1:6" ht="12.75" customHeight="1">
      <c r="A1" s="258" t="s">
        <v>510</v>
      </c>
      <c r="B1" s="258"/>
      <c r="C1" s="258"/>
      <c r="D1" s="258"/>
      <c r="E1" s="258"/>
      <c r="F1" s="258"/>
    </row>
    <row r="2" spans="1:6" ht="12.75" customHeight="1">
      <c r="A2" s="258"/>
      <c r="B2" s="258"/>
      <c r="C2" s="258"/>
      <c r="D2" s="258"/>
      <c r="E2" s="258"/>
      <c r="F2" s="258"/>
    </row>
    <row r="3" spans="1:6" ht="65.25" customHeight="1">
      <c r="A3" s="258"/>
      <c r="B3" s="258"/>
      <c r="C3" s="258"/>
      <c r="D3" s="258"/>
      <c r="E3" s="258"/>
      <c r="F3" s="258"/>
    </row>
    <row r="4" spans="1:6" ht="37.5" customHeight="1">
      <c r="A4" s="257" t="s">
        <v>453</v>
      </c>
      <c r="B4" s="257"/>
      <c r="C4" s="257"/>
      <c r="D4" s="257"/>
      <c r="E4" s="257"/>
      <c r="F4" s="257"/>
    </row>
    <row r="5" spans="1:4" ht="15">
      <c r="A5" s="183"/>
      <c r="B5" s="184"/>
      <c r="C5" s="184"/>
      <c r="D5" s="184"/>
    </row>
    <row r="6" spans="1:6" ht="76.5" customHeight="1">
      <c r="A6" s="259" t="s">
        <v>452</v>
      </c>
      <c r="B6" s="259" t="s">
        <v>430</v>
      </c>
      <c r="C6" s="259" t="s">
        <v>431</v>
      </c>
      <c r="D6" s="259" t="s">
        <v>503</v>
      </c>
      <c r="E6" s="254" t="s">
        <v>504</v>
      </c>
      <c r="F6" s="254" t="s">
        <v>494</v>
      </c>
    </row>
    <row r="7" spans="1:6" ht="6" customHeight="1" hidden="1">
      <c r="A7" s="259"/>
      <c r="B7" s="259"/>
      <c r="C7" s="259"/>
      <c r="D7" s="259"/>
      <c r="E7" s="255"/>
      <c r="F7" s="255"/>
    </row>
    <row r="8" spans="1:15" ht="7.5" customHeight="1" hidden="1">
      <c r="A8" s="259"/>
      <c r="B8" s="259"/>
      <c r="C8" s="259"/>
      <c r="D8" s="259"/>
      <c r="E8" s="256"/>
      <c r="F8" s="256"/>
      <c r="K8" s="225"/>
      <c r="L8" s="225"/>
      <c r="M8" s="225"/>
      <c r="N8" s="225"/>
      <c r="O8" s="225"/>
    </row>
    <row r="9" spans="1:15" ht="43.5" customHeight="1">
      <c r="A9" s="224">
        <v>0</v>
      </c>
      <c r="B9" s="227" t="s">
        <v>432</v>
      </c>
      <c r="C9" s="227" t="s">
        <v>433</v>
      </c>
      <c r="D9" s="228">
        <v>5666.1</v>
      </c>
      <c r="E9" s="226">
        <v>5144.6</v>
      </c>
      <c r="F9" s="229">
        <f>E9/D9*100</f>
        <v>90.79613843737316</v>
      </c>
      <c r="K9" s="221"/>
      <c r="L9" s="220"/>
      <c r="M9" s="223"/>
      <c r="N9" s="222"/>
      <c r="O9" s="225"/>
    </row>
    <row r="10" spans="1:15" ht="36" customHeight="1">
      <c r="A10" s="224">
        <v>0</v>
      </c>
      <c r="B10" s="227" t="s">
        <v>434</v>
      </c>
      <c r="C10" s="227" t="s">
        <v>435</v>
      </c>
      <c r="D10" s="227">
        <v>109926.3</v>
      </c>
      <c r="E10" s="226" t="s">
        <v>463</v>
      </c>
      <c r="F10" s="230" t="s">
        <v>463</v>
      </c>
      <c r="K10" s="221"/>
      <c r="L10" s="220"/>
      <c r="M10" s="223"/>
      <c r="N10" s="221"/>
      <c r="O10" s="225"/>
    </row>
    <row r="11" spans="1:15" ht="42.75" customHeight="1">
      <c r="A11" s="224">
        <v>0</v>
      </c>
      <c r="B11" s="227" t="s">
        <v>436</v>
      </c>
      <c r="C11" s="227" t="s">
        <v>437</v>
      </c>
      <c r="D11" s="227">
        <f>D10</f>
        <v>109926.3</v>
      </c>
      <c r="E11" s="226" t="s">
        <v>463</v>
      </c>
      <c r="F11" s="229" t="s">
        <v>463</v>
      </c>
      <c r="K11" s="221"/>
      <c r="L11" s="220"/>
      <c r="M11" s="223"/>
      <c r="N11" s="221"/>
      <c r="O11" s="225"/>
    </row>
    <row r="12" spans="1:15" ht="42" customHeight="1">
      <c r="A12" s="224">
        <v>0</v>
      </c>
      <c r="B12" s="227" t="s">
        <v>438</v>
      </c>
      <c r="C12" s="227" t="s">
        <v>439</v>
      </c>
      <c r="D12" s="227">
        <f>D11</f>
        <v>109926.3</v>
      </c>
      <c r="E12" s="226" t="s">
        <v>463</v>
      </c>
      <c r="F12" s="229" t="s">
        <v>463</v>
      </c>
      <c r="K12" s="221"/>
      <c r="L12" s="220"/>
      <c r="M12" s="223"/>
      <c r="N12" s="221"/>
      <c r="O12" s="225"/>
    </row>
    <row r="13" spans="1:15" ht="91.5" customHeight="1">
      <c r="A13" s="224">
        <v>966</v>
      </c>
      <c r="B13" s="227" t="s">
        <v>440</v>
      </c>
      <c r="C13" s="227" t="s">
        <v>441</v>
      </c>
      <c r="D13" s="227">
        <f>D12</f>
        <v>109926.3</v>
      </c>
      <c r="E13" s="226" t="s">
        <v>463</v>
      </c>
      <c r="F13" s="229" t="s">
        <v>463</v>
      </c>
      <c r="K13" s="221"/>
      <c r="L13" s="220"/>
      <c r="M13" s="223"/>
      <c r="N13" s="221"/>
      <c r="O13" s="225"/>
    </row>
    <row r="14" spans="1:15" ht="39" customHeight="1">
      <c r="A14" s="224">
        <v>0</v>
      </c>
      <c r="B14" s="227" t="s">
        <v>442</v>
      </c>
      <c r="C14" s="227" t="s">
        <v>443</v>
      </c>
      <c r="D14" s="228">
        <f>D15</f>
        <v>115592.42</v>
      </c>
      <c r="E14" s="226">
        <v>114320.2</v>
      </c>
      <c r="F14" s="229">
        <f>F15</f>
        <v>98.89939149989246</v>
      </c>
      <c r="K14" s="221"/>
      <c r="L14" s="220"/>
      <c r="M14" s="223"/>
      <c r="N14" s="222"/>
      <c r="O14" s="225"/>
    </row>
    <row r="15" spans="1:15" ht="35.25" customHeight="1">
      <c r="A15" s="224">
        <v>0</v>
      </c>
      <c r="B15" s="227" t="s">
        <v>444</v>
      </c>
      <c r="C15" s="227" t="s">
        <v>445</v>
      </c>
      <c r="D15" s="228">
        <f>D16</f>
        <v>115592.42</v>
      </c>
      <c r="E15" s="226">
        <f>E16</f>
        <v>114320.2</v>
      </c>
      <c r="F15" s="229">
        <f>F16</f>
        <v>98.89939149989246</v>
      </c>
      <c r="G15" s="182"/>
      <c r="K15" s="221"/>
      <c r="L15" s="220"/>
      <c r="M15" s="223"/>
      <c r="N15" s="222"/>
      <c r="O15" s="225"/>
    </row>
    <row r="16" spans="1:15" ht="45.75" customHeight="1">
      <c r="A16" s="224">
        <v>0</v>
      </c>
      <c r="B16" s="227" t="s">
        <v>446</v>
      </c>
      <c r="C16" s="227" t="s">
        <v>447</v>
      </c>
      <c r="D16" s="228">
        <f>D17</f>
        <v>115592.42</v>
      </c>
      <c r="E16" s="226">
        <f>E17</f>
        <v>114320.2</v>
      </c>
      <c r="F16" s="229">
        <f>F17</f>
        <v>98.89939149989246</v>
      </c>
      <c r="K16" s="221"/>
      <c r="L16" s="220"/>
      <c r="M16" s="223"/>
      <c r="N16" s="222"/>
      <c r="O16" s="225"/>
    </row>
    <row r="17" spans="1:15" ht="81" customHeight="1">
      <c r="A17" s="224">
        <v>966</v>
      </c>
      <c r="B17" s="227" t="s">
        <v>448</v>
      </c>
      <c r="C17" s="227" t="s">
        <v>449</v>
      </c>
      <c r="D17" s="228">
        <f>'НЕ УДАЛЯТЬ'!H326</f>
        <v>115592.42</v>
      </c>
      <c r="E17" s="226">
        <v>114320.2</v>
      </c>
      <c r="F17" s="229">
        <f>E17/D17*100</f>
        <v>98.89939149989246</v>
      </c>
      <c r="K17" s="221"/>
      <c r="L17" s="220"/>
      <c r="M17" s="223"/>
      <c r="N17" s="222"/>
      <c r="O17" s="225"/>
    </row>
    <row r="18" spans="11:15" ht="12.75">
      <c r="K18" s="225"/>
      <c r="L18" s="225"/>
      <c r="M18" s="225"/>
      <c r="N18" s="225"/>
      <c r="O18" s="225"/>
    </row>
  </sheetData>
  <sheetProtection/>
  <mergeCells count="8">
    <mergeCell ref="E6:E8"/>
    <mergeCell ref="F6:F8"/>
    <mergeCell ref="A4:F4"/>
    <mergeCell ref="A1:F3"/>
    <mergeCell ref="B6:B8"/>
    <mergeCell ref="C6:C8"/>
    <mergeCell ref="A6:A8"/>
    <mergeCell ref="D6:D8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7"/>
  <sheetViews>
    <sheetView view="pageBreakPreview" zoomScaleNormal="115" zoomScaleSheetLayoutView="100" zoomScalePageLayoutView="0" workbookViewId="0" topLeftCell="A1">
      <selection activeCell="P23" sqref="P23"/>
    </sheetView>
  </sheetViews>
  <sheetFormatPr defaultColWidth="9.00390625" defaultRowHeight="12.75"/>
  <cols>
    <col min="1" max="1" width="6.75390625" style="13" customWidth="1"/>
    <col min="2" max="2" width="41.875" style="2" customWidth="1"/>
    <col min="3" max="3" width="6.125" style="11" hidden="1" customWidth="1"/>
    <col min="4" max="4" width="8.375" style="11" customWidth="1"/>
    <col min="5" max="5" width="10.75390625" style="61" customWidth="1"/>
    <col min="6" max="6" width="6.125" style="11" customWidth="1"/>
    <col min="7" max="7" width="7.375" style="11" hidden="1" customWidth="1"/>
    <col min="8" max="8" width="21.375" style="36" customWidth="1"/>
    <col min="9" max="9" width="0" style="134" hidden="1" customWidth="1"/>
    <col min="10" max="10" width="11.00390625" style="0" hidden="1" customWidth="1"/>
    <col min="11" max="12" width="0" style="0" hidden="1" customWidth="1"/>
    <col min="13" max="13" width="8.875" style="0" customWidth="1"/>
  </cols>
  <sheetData>
    <row r="1" spans="1:8" ht="15">
      <c r="A1" s="122"/>
      <c r="B1" s="122"/>
      <c r="C1" s="122"/>
      <c r="E1"/>
      <c r="F1"/>
      <c r="G1"/>
      <c r="H1" s="120" t="s">
        <v>198</v>
      </c>
    </row>
    <row r="2" spans="1:8" ht="15">
      <c r="A2" s="122"/>
      <c r="B2" s="122"/>
      <c r="C2" s="122"/>
      <c r="E2"/>
      <c r="F2"/>
      <c r="G2"/>
      <c r="H2" s="120" t="s">
        <v>234</v>
      </c>
    </row>
    <row r="3" spans="1:8" ht="15">
      <c r="A3" s="126"/>
      <c r="B3" s="126"/>
      <c r="C3" s="122"/>
      <c r="E3"/>
      <c r="F3"/>
      <c r="G3"/>
      <c r="H3" s="120" t="s">
        <v>235</v>
      </c>
    </row>
    <row r="4" spans="1:8" ht="15">
      <c r="A4" s="126"/>
      <c r="B4" s="131"/>
      <c r="C4" s="122"/>
      <c r="E4"/>
      <c r="F4"/>
      <c r="G4"/>
      <c r="H4" s="120" t="s">
        <v>197</v>
      </c>
    </row>
    <row r="5" spans="1:8" ht="15">
      <c r="A5" s="126"/>
      <c r="B5" s="132"/>
      <c r="C5" s="122"/>
      <c r="E5"/>
      <c r="F5"/>
      <c r="G5"/>
      <c r="H5" s="121" t="s">
        <v>450</v>
      </c>
    </row>
    <row r="6" spans="1:8" ht="15">
      <c r="A6" s="126"/>
      <c r="B6" s="127"/>
      <c r="D6" s="125" t="s">
        <v>237</v>
      </c>
      <c r="E6"/>
      <c r="F6"/>
      <c r="G6"/>
      <c r="H6" s="121"/>
    </row>
    <row r="7" spans="1:12" s="112" customFormat="1" ht="12.75" customHeight="1">
      <c r="A7" s="128"/>
      <c r="B7" s="129"/>
      <c r="D7" s="125" t="s">
        <v>236</v>
      </c>
      <c r="E7" s="123"/>
      <c r="F7" s="123"/>
      <c r="G7" s="123"/>
      <c r="H7" s="123"/>
      <c r="I7" s="134"/>
      <c r="J7"/>
      <c r="K7"/>
      <c r="L7"/>
    </row>
    <row r="8" spans="1:12" s="112" customFormat="1" ht="12.75">
      <c r="A8" s="130"/>
      <c r="B8" s="129"/>
      <c r="D8" s="125" t="s">
        <v>239</v>
      </c>
      <c r="E8" s="123"/>
      <c r="F8" s="123"/>
      <c r="G8" s="123"/>
      <c r="H8" s="123"/>
      <c r="I8" s="134"/>
      <c r="J8"/>
      <c r="K8"/>
      <c r="L8"/>
    </row>
    <row r="9" spans="1:12" s="112" customFormat="1" ht="12.75">
      <c r="A9" s="14"/>
      <c r="B9" s="129"/>
      <c r="D9" s="124" t="s">
        <v>238</v>
      </c>
      <c r="E9" s="55"/>
      <c r="F9" s="12"/>
      <c r="G9" s="12"/>
      <c r="H9" s="37"/>
      <c r="I9" s="134"/>
      <c r="J9"/>
      <c r="K9"/>
      <c r="L9"/>
    </row>
    <row r="10" spans="1:12" s="112" customFormat="1" ht="12.75">
      <c r="A10" s="14"/>
      <c r="D10" s="124" t="s">
        <v>240</v>
      </c>
      <c r="E10" s="55"/>
      <c r="F10" s="12"/>
      <c r="G10" s="12"/>
      <c r="H10" s="37"/>
      <c r="I10" s="134"/>
      <c r="J10"/>
      <c r="K10"/>
      <c r="L10"/>
    </row>
    <row r="11" spans="1:9" ht="42.75" thickBot="1">
      <c r="A11" s="15" t="s">
        <v>75</v>
      </c>
      <c r="B11" s="3" t="s">
        <v>76</v>
      </c>
      <c r="C11" s="21" t="s">
        <v>77</v>
      </c>
      <c r="D11" s="15" t="s">
        <v>219</v>
      </c>
      <c r="E11" s="56" t="s">
        <v>78</v>
      </c>
      <c r="F11" s="21" t="s">
        <v>220</v>
      </c>
      <c r="G11" s="21" t="s">
        <v>222</v>
      </c>
      <c r="H11" s="38" t="s">
        <v>221</v>
      </c>
      <c r="I11"/>
    </row>
    <row r="12" spans="1:9" ht="33.75">
      <c r="A12" s="170"/>
      <c r="B12" s="171" t="s">
        <v>262</v>
      </c>
      <c r="C12" s="172" t="s">
        <v>82</v>
      </c>
      <c r="D12" s="173"/>
      <c r="E12" s="173"/>
      <c r="F12" s="172"/>
      <c r="G12" s="172"/>
      <c r="H12" s="174">
        <f>H13</f>
        <v>3507.6999999999994</v>
      </c>
      <c r="I12"/>
    </row>
    <row r="13" spans="1:9" ht="12.75">
      <c r="A13" s="90" t="s">
        <v>0</v>
      </c>
      <c r="B13" s="180" t="s">
        <v>1</v>
      </c>
      <c r="C13" s="92">
        <v>928</v>
      </c>
      <c r="D13" s="90" t="s">
        <v>80</v>
      </c>
      <c r="E13" s="90"/>
      <c r="F13" s="92"/>
      <c r="G13" s="92"/>
      <c r="H13" s="93">
        <f>H14+H21</f>
        <v>3507.6999999999994</v>
      </c>
      <c r="I13"/>
    </row>
    <row r="14" spans="1:9" ht="34.5" thickBot="1">
      <c r="A14" s="175" t="s">
        <v>2</v>
      </c>
      <c r="B14" s="176" t="s">
        <v>3</v>
      </c>
      <c r="C14" s="177">
        <v>928</v>
      </c>
      <c r="D14" s="178" t="s">
        <v>79</v>
      </c>
      <c r="E14" s="178"/>
      <c r="F14" s="177"/>
      <c r="G14" s="177"/>
      <c r="H14" s="179">
        <f>H15</f>
        <v>1220.5</v>
      </c>
      <c r="I14"/>
    </row>
    <row r="15" spans="1:9" ht="13.5" thickBot="1">
      <c r="A15" s="40" t="s">
        <v>4</v>
      </c>
      <c r="B15" s="85" t="s">
        <v>5</v>
      </c>
      <c r="C15" s="42">
        <v>928</v>
      </c>
      <c r="D15" s="43" t="s">
        <v>79</v>
      </c>
      <c r="E15" s="43" t="s">
        <v>167</v>
      </c>
      <c r="F15" s="42"/>
      <c r="G15" s="42"/>
      <c r="H15" s="62">
        <f>H16</f>
        <v>1220.5</v>
      </c>
      <c r="I15"/>
    </row>
    <row r="16" spans="1:9" ht="56.25">
      <c r="A16" s="16" t="s">
        <v>106</v>
      </c>
      <c r="B16" s="19" t="s">
        <v>105</v>
      </c>
      <c r="C16" s="22">
        <v>928</v>
      </c>
      <c r="D16" s="16" t="s">
        <v>79</v>
      </c>
      <c r="E16" s="54" t="s">
        <v>167</v>
      </c>
      <c r="F16" s="22">
        <v>100</v>
      </c>
      <c r="G16" s="22" t="s">
        <v>82</v>
      </c>
      <c r="H16" s="25">
        <f>H17</f>
        <v>1220.5</v>
      </c>
      <c r="I16"/>
    </row>
    <row r="17" spans="1:9" ht="23.25" thickBot="1">
      <c r="A17" s="16"/>
      <c r="B17" s="20" t="s">
        <v>6</v>
      </c>
      <c r="C17" s="22">
        <v>928</v>
      </c>
      <c r="D17" s="16" t="s">
        <v>79</v>
      </c>
      <c r="E17" s="1" t="s">
        <v>167</v>
      </c>
      <c r="F17" s="22">
        <v>120</v>
      </c>
      <c r="G17" s="22"/>
      <c r="H17" s="25">
        <f>H18+H19</f>
        <v>1220.5</v>
      </c>
      <c r="I17"/>
    </row>
    <row r="18" spans="1:9" ht="22.5" hidden="1">
      <c r="A18" s="16"/>
      <c r="B18" s="20" t="s">
        <v>210</v>
      </c>
      <c r="C18" s="22">
        <v>928</v>
      </c>
      <c r="D18" s="16" t="s">
        <v>79</v>
      </c>
      <c r="E18" s="1" t="s">
        <v>167</v>
      </c>
      <c r="F18" s="22">
        <v>121</v>
      </c>
      <c r="G18" s="22"/>
      <c r="H18" s="25">
        <v>942.5</v>
      </c>
      <c r="I18"/>
    </row>
    <row r="19" spans="1:9" ht="33.75" hidden="1">
      <c r="A19" s="16"/>
      <c r="B19" s="20" t="s">
        <v>209</v>
      </c>
      <c r="C19" s="22">
        <v>928</v>
      </c>
      <c r="D19" s="16" t="s">
        <v>79</v>
      </c>
      <c r="E19" s="1" t="s">
        <v>167</v>
      </c>
      <c r="F19" s="22">
        <v>129</v>
      </c>
      <c r="G19" s="22"/>
      <c r="H19" s="25">
        <f>H20</f>
        <v>278</v>
      </c>
      <c r="I19"/>
    </row>
    <row r="20" spans="1:13" ht="13.5" hidden="1" thickBot="1">
      <c r="A20" s="16"/>
      <c r="B20" s="20" t="s">
        <v>207</v>
      </c>
      <c r="C20" s="22">
        <v>928</v>
      </c>
      <c r="D20" s="16" t="s">
        <v>79</v>
      </c>
      <c r="E20" s="104" t="s">
        <v>167</v>
      </c>
      <c r="F20" s="22">
        <v>129</v>
      </c>
      <c r="G20" s="22">
        <v>213</v>
      </c>
      <c r="H20" s="25">
        <f>260.6+16+9.7-8.3</f>
        <v>278</v>
      </c>
      <c r="I20"/>
      <c r="L20">
        <v>16</v>
      </c>
      <c r="M20">
        <v>9.7</v>
      </c>
    </row>
    <row r="21" spans="1:9" ht="45.75" thickBot="1">
      <c r="A21" s="80" t="s">
        <v>7</v>
      </c>
      <c r="B21" s="84" t="s">
        <v>8</v>
      </c>
      <c r="C21" s="81">
        <v>928</v>
      </c>
      <c r="D21" s="82" t="s">
        <v>81</v>
      </c>
      <c r="E21" s="82"/>
      <c r="F21" s="81"/>
      <c r="G21" s="81"/>
      <c r="H21" s="83">
        <f>H22+H27+H44</f>
        <v>2287.1999999999994</v>
      </c>
      <c r="I21"/>
    </row>
    <row r="22" spans="1:9" ht="23.25" thickBot="1">
      <c r="A22" s="40" t="s">
        <v>103</v>
      </c>
      <c r="B22" s="41" t="s">
        <v>10</v>
      </c>
      <c r="C22" s="42">
        <v>928</v>
      </c>
      <c r="D22" s="43" t="s">
        <v>81</v>
      </c>
      <c r="E22" s="43" t="s">
        <v>168</v>
      </c>
      <c r="F22" s="42"/>
      <c r="G22" s="42"/>
      <c r="H22" s="62">
        <f>H23</f>
        <v>265.2</v>
      </c>
      <c r="I22"/>
    </row>
    <row r="23" spans="1:9" ht="56.25">
      <c r="A23" s="16" t="s">
        <v>107</v>
      </c>
      <c r="B23" s="4" t="s">
        <v>105</v>
      </c>
      <c r="C23" s="22">
        <v>928</v>
      </c>
      <c r="D23" s="16" t="s">
        <v>81</v>
      </c>
      <c r="E23" s="54" t="s">
        <v>168</v>
      </c>
      <c r="F23" s="22">
        <v>100</v>
      </c>
      <c r="G23" s="22"/>
      <c r="H23" s="25">
        <f>H24</f>
        <v>265.2</v>
      </c>
      <c r="I23"/>
    </row>
    <row r="24" spans="1:9" ht="23.25" thickBot="1">
      <c r="A24" s="16"/>
      <c r="B24" s="20" t="s">
        <v>6</v>
      </c>
      <c r="C24" s="22">
        <v>928</v>
      </c>
      <c r="D24" s="16" t="s">
        <v>81</v>
      </c>
      <c r="E24" s="9" t="s">
        <v>168</v>
      </c>
      <c r="F24" s="22">
        <v>120</v>
      </c>
      <c r="G24" s="22"/>
      <c r="H24" s="25">
        <f>H25</f>
        <v>265.2</v>
      </c>
      <c r="I24"/>
    </row>
    <row r="25" spans="1:9" ht="45" hidden="1">
      <c r="A25" s="16"/>
      <c r="B25" s="20" t="s">
        <v>241</v>
      </c>
      <c r="C25" s="22">
        <v>928</v>
      </c>
      <c r="D25" s="16" t="s">
        <v>81</v>
      </c>
      <c r="E25" s="1" t="s">
        <v>168</v>
      </c>
      <c r="F25" s="22">
        <v>123</v>
      </c>
      <c r="G25" s="22"/>
      <c r="H25" s="25">
        <f>H26</f>
        <v>265.2</v>
      </c>
      <c r="I25"/>
    </row>
    <row r="26" spans="1:13" ht="13.5" hidden="1" thickBot="1">
      <c r="A26" s="16"/>
      <c r="B26" s="20" t="s">
        <v>208</v>
      </c>
      <c r="C26" s="22">
        <v>928</v>
      </c>
      <c r="D26" s="16" t="s">
        <v>81</v>
      </c>
      <c r="E26" s="104" t="s">
        <v>168</v>
      </c>
      <c r="F26" s="22">
        <v>123</v>
      </c>
      <c r="G26" s="22">
        <v>226</v>
      </c>
      <c r="H26" s="25">
        <f>285.8-5-15.6</f>
        <v>265.2</v>
      </c>
      <c r="I26"/>
      <c r="K26">
        <v>2</v>
      </c>
      <c r="M26">
        <v>-15.6</v>
      </c>
    </row>
    <row r="27" spans="1:9" ht="23.25" thickBot="1">
      <c r="A27" s="40" t="s">
        <v>9</v>
      </c>
      <c r="B27" s="41" t="s">
        <v>12</v>
      </c>
      <c r="C27" s="42">
        <v>928</v>
      </c>
      <c r="D27" s="43" t="s">
        <v>81</v>
      </c>
      <c r="E27" s="43" t="s">
        <v>170</v>
      </c>
      <c r="F27" s="42"/>
      <c r="G27" s="42"/>
      <c r="H27" s="62">
        <f>H28+H34</f>
        <v>1949.2999999999997</v>
      </c>
      <c r="I27"/>
    </row>
    <row r="28" spans="1:9" ht="56.25">
      <c r="A28" s="16" t="s">
        <v>11</v>
      </c>
      <c r="B28" s="4" t="s">
        <v>105</v>
      </c>
      <c r="C28" s="22">
        <v>928</v>
      </c>
      <c r="D28" s="16" t="s">
        <v>81</v>
      </c>
      <c r="E28" s="54" t="s">
        <v>170</v>
      </c>
      <c r="F28" s="22">
        <v>100</v>
      </c>
      <c r="G28" s="22"/>
      <c r="H28" s="25">
        <f>H29</f>
        <v>1572.6</v>
      </c>
      <c r="I28"/>
    </row>
    <row r="29" spans="1:9" ht="22.5">
      <c r="A29" s="16"/>
      <c r="B29" s="20" t="s">
        <v>6</v>
      </c>
      <c r="C29" s="22">
        <v>928</v>
      </c>
      <c r="D29" s="16" t="s">
        <v>81</v>
      </c>
      <c r="E29" s="1" t="s">
        <v>170</v>
      </c>
      <c r="F29" s="22">
        <v>120</v>
      </c>
      <c r="G29" s="22"/>
      <c r="H29" s="25">
        <f>H30+H32</f>
        <v>1572.6</v>
      </c>
      <c r="I29"/>
    </row>
    <row r="30" spans="1:9" ht="22.5">
      <c r="A30" s="16"/>
      <c r="B30" s="20" t="s">
        <v>210</v>
      </c>
      <c r="C30" s="22">
        <v>928</v>
      </c>
      <c r="D30" s="16" t="s">
        <v>81</v>
      </c>
      <c r="E30" s="1" t="s">
        <v>170</v>
      </c>
      <c r="F30" s="22">
        <v>121</v>
      </c>
      <c r="G30" s="22"/>
      <c r="H30" s="25">
        <f>H31</f>
        <v>1166</v>
      </c>
      <c r="I30"/>
    </row>
    <row r="31" spans="1:9" ht="12.75">
      <c r="A31" s="16"/>
      <c r="B31" s="20" t="s">
        <v>206</v>
      </c>
      <c r="C31" s="22">
        <v>928</v>
      </c>
      <c r="D31" s="16" t="s">
        <v>81</v>
      </c>
      <c r="E31" s="1" t="s">
        <v>170</v>
      </c>
      <c r="F31" s="22">
        <v>121</v>
      </c>
      <c r="G31" s="22">
        <v>211</v>
      </c>
      <c r="H31" s="25">
        <f>1093.3+72.7</f>
        <v>1166</v>
      </c>
      <c r="I31"/>
    </row>
    <row r="32" spans="1:9" ht="33.75">
      <c r="A32" s="16"/>
      <c r="B32" s="20" t="s">
        <v>209</v>
      </c>
      <c r="C32" s="22">
        <v>928</v>
      </c>
      <c r="D32" s="16" t="s">
        <v>81</v>
      </c>
      <c r="E32" s="1" t="s">
        <v>170</v>
      </c>
      <c r="F32" s="22">
        <v>129</v>
      </c>
      <c r="G32" s="22"/>
      <c r="H32" s="25">
        <f>H33</f>
        <v>406.6</v>
      </c>
      <c r="I32"/>
    </row>
    <row r="33" spans="1:13" ht="12.75">
      <c r="A33" s="16"/>
      <c r="B33" s="20" t="s">
        <v>207</v>
      </c>
      <c r="C33" s="22">
        <v>928</v>
      </c>
      <c r="D33" s="16" t="s">
        <v>81</v>
      </c>
      <c r="E33" s="1" t="s">
        <v>170</v>
      </c>
      <c r="F33" s="22">
        <v>129</v>
      </c>
      <c r="G33" s="22">
        <v>213</v>
      </c>
      <c r="H33" s="25">
        <f>330.2+22+74-28.2+8.6</f>
        <v>406.6</v>
      </c>
      <c r="I33"/>
      <c r="L33">
        <v>74</v>
      </c>
      <c r="M33">
        <f>-28.2+8.6</f>
        <v>-19.6</v>
      </c>
    </row>
    <row r="34" spans="1:9" ht="22.5">
      <c r="A34" s="17" t="s">
        <v>204</v>
      </c>
      <c r="B34" s="33" t="s">
        <v>24</v>
      </c>
      <c r="C34" s="23">
        <v>928</v>
      </c>
      <c r="D34" s="17" t="s">
        <v>81</v>
      </c>
      <c r="E34" s="9" t="s">
        <v>170</v>
      </c>
      <c r="F34" s="23">
        <v>200</v>
      </c>
      <c r="G34" s="23"/>
      <c r="H34" s="26">
        <f>H35</f>
        <v>376.69999999999993</v>
      </c>
      <c r="I34"/>
    </row>
    <row r="35" spans="1:9" ht="22.5">
      <c r="A35" s="17"/>
      <c r="B35" s="5" t="s">
        <v>108</v>
      </c>
      <c r="C35" s="23">
        <v>928</v>
      </c>
      <c r="D35" s="17" t="s">
        <v>81</v>
      </c>
      <c r="E35" s="1" t="s">
        <v>170</v>
      </c>
      <c r="F35" s="23">
        <v>240</v>
      </c>
      <c r="G35" s="23"/>
      <c r="H35" s="26">
        <f>H36+H38</f>
        <v>376.69999999999993</v>
      </c>
      <c r="I35"/>
    </row>
    <row r="36" spans="1:9" ht="23.25" thickBot="1">
      <c r="A36" s="17"/>
      <c r="B36" s="7" t="s">
        <v>202</v>
      </c>
      <c r="C36" s="23">
        <v>928</v>
      </c>
      <c r="D36" s="17" t="s">
        <v>81</v>
      </c>
      <c r="E36" s="1" t="s">
        <v>170</v>
      </c>
      <c r="F36" s="23">
        <v>242</v>
      </c>
      <c r="G36" s="23"/>
      <c r="H36" s="26">
        <f>H37</f>
        <v>34</v>
      </c>
      <c r="I36"/>
    </row>
    <row r="37" spans="1:9" ht="12.75" hidden="1">
      <c r="A37" s="17"/>
      <c r="B37" s="7" t="s">
        <v>211</v>
      </c>
      <c r="C37" s="23">
        <v>928</v>
      </c>
      <c r="D37" s="17" t="s">
        <v>81</v>
      </c>
      <c r="E37" s="1" t="s">
        <v>170</v>
      </c>
      <c r="F37" s="23">
        <v>242</v>
      </c>
      <c r="G37" s="23">
        <v>221</v>
      </c>
      <c r="H37" s="26">
        <f>200-166</f>
        <v>34</v>
      </c>
      <c r="I37"/>
    </row>
    <row r="38" spans="1:9" ht="22.5" hidden="1">
      <c r="A38" s="17"/>
      <c r="B38" s="108" t="s">
        <v>199</v>
      </c>
      <c r="C38" s="23">
        <v>928</v>
      </c>
      <c r="D38" s="17" t="s">
        <v>81</v>
      </c>
      <c r="E38" s="58" t="s">
        <v>170</v>
      </c>
      <c r="F38" s="23">
        <v>244</v>
      </c>
      <c r="G38" s="23"/>
      <c r="H38" s="156">
        <f>H39+H40+H41+H42+H43</f>
        <v>342.69999999999993</v>
      </c>
      <c r="I38"/>
    </row>
    <row r="39" spans="1:13" ht="10.5" customHeight="1" hidden="1">
      <c r="A39" s="18"/>
      <c r="B39" s="6" t="s">
        <v>212</v>
      </c>
      <c r="C39" s="23">
        <v>928</v>
      </c>
      <c r="D39" s="18" t="s">
        <v>81</v>
      </c>
      <c r="E39" s="1" t="s">
        <v>170</v>
      </c>
      <c r="F39" s="24">
        <v>244</v>
      </c>
      <c r="G39" s="24">
        <v>223</v>
      </c>
      <c r="H39" s="157">
        <f>114+21.2+12.3+8.7</f>
        <v>156.2</v>
      </c>
      <c r="I39"/>
      <c r="M39">
        <v>12.3</v>
      </c>
    </row>
    <row r="40" spans="1:9" ht="12.75" hidden="1">
      <c r="A40" s="17"/>
      <c r="B40" s="5" t="s">
        <v>213</v>
      </c>
      <c r="C40" s="23">
        <v>928</v>
      </c>
      <c r="D40" s="18" t="s">
        <v>81</v>
      </c>
      <c r="E40" s="1" t="s">
        <v>170</v>
      </c>
      <c r="F40" s="24">
        <v>244</v>
      </c>
      <c r="G40" s="23">
        <v>225</v>
      </c>
      <c r="H40" s="156">
        <f>30+99.2-8.6</f>
        <v>120.6</v>
      </c>
      <c r="I40"/>
    </row>
    <row r="41" spans="1:12" ht="12.75" hidden="1">
      <c r="A41" s="17"/>
      <c r="B41" s="5" t="s">
        <v>208</v>
      </c>
      <c r="C41" s="23">
        <v>928</v>
      </c>
      <c r="D41" s="17" t="s">
        <v>81</v>
      </c>
      <c r="E41" s="1" t="s">
        <v>170</v>
      </c>
      <c r="F41" s="23">
        <v>244</v>
      </c>
      <c r="G41" s="107">
        <v>226</v>
      </c>
      <c r="H41" s="156">
        <f>56+54-45.6</f>
        <v>64.4</v>
      </c>
      <c r="I41"/>
      <c r="L41">
        <v>-45.6</v>
      </c>
    </row>
    <row r="42" spans="1:12" ht="12.75" hidden="1">
      <c r="A42" s="17"/>
      <c r="B42" s="5" t="s">
        <v>218</v>
      </c>
      <c r="C42" s="23">
        <v>928</v>
      </c>
      <c r="D42" s="17" t="s">
        <v>81</v>
      </c>
      <c r="E42" s="1" t="s">
        <v>170</v>
      </c>
      <c r="F42" s="23">
        <v>244</v>
      </c>
      <c r="G42" s="107">
        <v>310</v>
      </c>
      <c r="H42" s="156">
        <f>20-18.5</f>
        <v>1.5</v>
      </c>
      <c r="I42"/>
      <c r="L42">
        <v>-18.5</v>
      </c>
    </row>
    <row r="43" spans="1:12" ht="13.5" hidden="1" thickBot="1">
      <c r="A43" s="18"/>
      <c r="B43" s="6" t="s">
        <v>217</v>
      </c>
      <c r="C43" s="24">
        <v>928</v>
      </c>
      <c r="D43" s="18" t="s">
        <v>81</v>
      </c>
      <c r="E43" s="59" t="s">
        <v>170</v>
      </c>
      <c r="F43" s="24">
        <v>244</v>
      </c>
      <c r="G43" s="49">
        <v>340</v>
      </c>
      <c r="H43" s="157">
        <f>100+4.5-104.5</f>
        <v>0</v>
      </c>
      <c r="I43"/>
      <c r="K43">
        <v>2</v>
      </c>
      <c r="L43">
        <v>-104.5</v>
      </c>
    </row>
    <row r="44" spans="1:9" ht="13.5" thickBot="1">
      <c r="A44" s="40" t="s">
        <v>104</v>
      </c>
      <c r="B44" s="41" t="s">
        <v>13</v>
      </c>
      <c r="C44" s="42">
        <v>928</v>
      </c>
      <c r="D44" s="43" t="s">
        <v>81</v>
      </c>
      <c r="E44" s="43" t="s">
        <v>169</v>
      </c>
      <c r="F44" s="42"/>
      <c r="G44" s="42"/>
      <c r="H44" s="62">
        <f>H45</f>
        <v>72.7</v>
      </c>
      <c r="I44"/>
    </row>
    <row r="45" spans="1:9" ht="12.75">
      <c r="A45" s="16" t="s">
        <v>214</v>
      </c>
      <c r="B45" s="4" t="s">
        <v>109</v>
      </c>
      <c r="C45" s="22">
        <v>928</v>
      </c>
      <c r="D45" s="16" t="s">
        <v>81</v>
      </c>
      <c r="E45" s="57" t="s">
        <v>169</v>
      </c>
      <c r="F45" s="22">
        <v>800</v>
      </c>
      <c r="G45" s="22"/>
      <c r="H45" s="25">
        <f>H46</f>
        <v>72.7</v>
      </c>
      <c r="I45"/>
    </row>
    <row r="46" spans="1:9" ht="13.5" thickBot="1">
      <c r="A46" s="16"/>
      <c r="B46" s="7" t="s">
        <v>14</v>
      </c>
      <c r="C46" s="22">
        <v>928</v>
      </c>
      <c r="D46" s="16" t="s">
        <v>81</v>
      </c>
      <c r="E46" s="1" t="s">
        <v>169</v>
      </c>
      <c r="F46" s="22">
        <v>850</v>
      </c>
      <c r="G46" s="22"/>
      <c r="H46" s="25">
        <f>H47+H49</f>
        <v>72.7</v>
      </c>
      <c r="I46"/>
    </row>
    <row r="47" spans="1:9" ht="22.5" hidden="1">
      <c r="A47" s="16"/>
      <c r="B47" s="152" t="s">
        <v>252</v>
      </c>
      <c r="C47" s="22">
        <v>928</v>
      </c>
      <c r="D47" s="16" t="s">
        <v>81</v>
      </c>
      <c r="E47" s="58" t="s">
        <v>169</v>
      </c>
      <c r="F47" s="22">
        <v>851</v>
      </c>
      <c r="G47" s="22"/>
      <c r="H47" s="25">
        <f>H48</f>
        <v>0.5</v>
      </c>
      <c r="I47"/>
    </row>
    <row r="48" spans="1:11" ht="12.75" hidden="1">
      <c r="A48" s="16"/>
      <c r="B48" s="152" t="s">
        <v>203</v>
      </c>
      <c r="C48" s="22">
        <v>928</v>
      </c>
      <c r="D48" s="16" t="s">
        <v>81</v>
      </c>
      <c r="E48" s="1" t="s">
        <v>169</v>
      </c>
      <c r="F48" s="22">
        <v>851</v>
      </c>
      <c r="G48" s="22">
        <v>290</v>
      </c>
      <c r="H48" s="25">
        <v>0.5</v>
      </c>
      <c r="I48"/>
      <c r="K48">
        <v>2</v>
      </c>
    </row>
    <row r="49" spans="1:9" ht="12.75" hidden="1">
      <c r="A49" s="16"/>
      <c r="B49" s="146" t="s">
        <v>215</v>
      </c>
      <c r="C49" s="22">
        <v>928</v>
      </c>
      <c r="D49" s="16" t="s">
        <v>81</v>
      </c>
      <c r="E49" s="1" t="s">
        <v>169</v>
      </c>
      <c r="F49" s="22">
        <v>853</v>
      </c>
      <c r="G49" s="22"/>
      <c r="H49" s="25">
        <f>H50</f>
        <v>72.2</v>
      </c>
      <c r="I49"/>
    </row>
    <row r="50" spans="1:9" ht="13.5" hidden="1" thickBot="1">
      <c r="A50" s="16"/>
      <c r="B50" s="113" t="s">
        <v>203</v>
      </c>
      <c r="C50" s="22">
        <v>928</v>
      </c>
      <c r="D50" s="16" t="s">
        <v>81</v>
      </c>
      <c r="E50" s="1" t="s">
        <v>169</v>
      </c>
      <c r="F50" s="22">
        <v>853</v>
      </c>
      <c r="G50" s="22">
        <v>290</v>
      </c>
      <c r="H50" s="25">
        <f>74.3-2.1</f>
        <v>72.2</v>
      </c>
      <c r="I50"/>
    </row>
    <row r="51" spans="1:9" ht="34.5" thickBot="1">
      <c r="A51" s="143"/>
      <c r="B51" s="147" t="s">
        <v>263</v>
      </c>
      <c r="C51" s="144"/>
      <c r="D51" s="145"/>
      <c r="E51" s="145"/>
      <c r="F51" s="144"/>
      <c r="G51" s="144"/>
      <c r="H51" s="148">
        <f>H52+H185+H199+H269+H276+H289+H306+H318</f>
        <v>112084.72</v>
      </c>
      <c r="I51"/>
    </row>
    <row r="52" spans="1:9" ht="13.5" thickBot="1">
      <c r="A52" s="75" t="s">
        <v>224</v>
      </c>
      <c r="B52" s="76" t="s">
        <v>1</v>
      </c>
      <c r="C52" s="77">
        <v>966</v>
      </c>
      <c r="D52" s="78" t="s">
        <v>80</v>
      </c>
      <c r="E52" s="78"/>
      <c r="F52" s="77"/>
      <c r="G52" s="77"/>
      <c r="H52" s="79">
        <f>H53+H119+H124</f>
        <v>31146.7</v>
      </c>
      <c r="I52"/>
    </row>
    <row r="53" spans="1:9" ht="45.75" thickBot="1">
      <c r="A53" s="69" t="s">
        <v>15</v>
      </c>
      <c r="B53" s="70" t="s">
        <v>16</v>
      </c>
      <c r="C53" s="71">
        <v>966</v>
      </c>
      <c r="D53" s="72" t="s">
        <v>84</v>
      </c>
      <c r="E53" s="72"/>
      <c r="F53" s="71"/>
      <c r="G53" s="71"/>
      <c r="H53" s="73">
        <f>H54+H61+H95+H100</f>
        <v>28514.2</v>
      </c>
      <c r="I53"/>
    </row>
    <row r="54" spans="1:9" ht="12.75">
      <c r="A54" s="64" t="s">
        <v>17</v>
      </c>
      <c r="B54" s="65" t="s">
        <v>18</v>
      </c>
      <c r="C54" s="66">
        <v>966</v>
      </c>
      <c r="D54" s="67" t="s">
        <v>84</v>
      </c>
      <c r="E54" s="67" t="s">
        <v>171</v>
      </c>
      <c r="F54" s="66"/>
      <c r="G54" s="66"/>
      <c r="H54" s="68">
        <f>H56</f>
        <v>1175.7</v>
      </c>
      <c r="I54"/>
    </row>
    <row r="55" spans="1:9" ht="56.25">
      <c r="A55" s="17" t="s">
        <v>19</v>
      </c>
      <c r="B55" s="5" t="s">
        <v>105</v>
      </c>
      <c r="C55" s="27">
        <v>966</v>
      </c>
      <c r="D55" s="1" t="s">
        <v>84</v>
      </c>
      <c r="E55" s="1" t="s">
        <v>171</v>
      </c>
      <c r="F55" s="27">
        <v>100</v>
      </c>
      <c r="G55" s="27"/>
      <c r="H55" s="26">
        <f>H56</f>
        <v>1175.7</v>
      </c>
      <c r="I55"/>
    </row>
    <row r="56" spans="1:9" ht="23.25" thickBot="1">
      <c r="A56" s="17"/>
      <c r="B56" s="20" t="s">
        <v>6</v>
      </c>
      <c r="C56" s="27">
        <v>966</v>
      </c>
      <c r="D56" s="1" t="s">
        <v>84</v>
      </c>
      <c r="E56" s="9" t="s">
        <v>171</v>
      </c>
      <c r="F56" s="27">
        <v>120</v>
      </c>
      <c r="G56" s="27"/>
      <c r="H56" s="26">
        <f>H57+H59</f>
        <v>1175.7</v>
      </c>
      <c r="I56"/>
    </row>
    <row r="57" spans="1:9" ht="22.5" hidden="1">
      <c r="A57" s="16"/>
      <c r="B57" s="20" t="s">
        <v>210</v>
      </c>
      <c r="C57" s="27">
        <v>966</v>
      </c>
      <c r="D57" s="1" t="s">
        <v>84</v>
      </c>
      <c r="E57" s="1" t="s">
        <v>171</v>
      </c>
      <c r="F57" s="22">
        <v>121</v>
      </c>
      <c r="G57" s="22"/>
      <c r="H57" s="25">
        <f>H58</f>
        <v>942.5</v>
      </c>
      <c r="I57"/>
    </row>
    <row r="58" spans="1:9" ht="12.75" hidden="1">
      <c r="A58" s="16"/>
      <c r="B58" s="20" t="s">
        <v>206</v>
      </c>
      <c r="C58" s="27">
        <v>966</v>
      </c>
      <c r="D58" s="1" t="s">
        <v>84</v>
      </c>
      <c r="E58" s="1" t="s">
        <v>171</v>
      </c>
      <c r="F58" s="22">
        <v>121</v>
      </c>
      <c r="G58" s="22">
        <v>211</v>
      </c>
      <c r="H58" s="25">
        <v>942.5</v>
      </c>
      <c r="I58"/>
    </row>
    <row r="59" spans="1:9" ht="33.75" hidden="1">
      <c r="A59" s="16"/>
      <c r="B59" s="20" t="s">
        <v>209</v>
      </c>
      <c r="C59" s="27">
        <v>966</v>
      </c>
      <c r="D59" s="1" t="s">
        <v>84</v>
      </c>
      <c r="E59" s="1" t="s">
        <v>171</v>
      </c>
      <c r="F59" s="22">
        <v>129</v>
      </c>
      <c r="G59" s="22"/>
      <c r="H59" s="25">
        <f>H60</f>
        <v>233.20000000000002</v>
      </c>
      <c r="I59"/>
    </row>
    <row r="60" spans="1:13" ht="13.5" hidden="1" thickBot="1">
      <c r="A60" s="16"/>
      <c r="B60" s="20" t="s">
        <v>207</v>
      </c>
      <c r="C60" s="27">
        <v>966</v>
      </c>
      <c r="D60" s="1" t="s">
        <v>84</v>
      </c>
      <c r="E60" s="58" t="s">
        <v>171</v>
      </c>
      <c r="F60" s="22">
        <v>129</v>
      </c>
      <c r="G60" s="22">
        <v>213</v>
      </c>
      <c r="H60" s="25">
        <f>260.6-27.4</f>
        <v>233.20000000000002</v>
      </c>
      <c r="I60"/>
      <c r="M60">
        <v>-27.4</v>
      </c>
    </row>
    <row r="61" spans="1:9" ht="34.5" thickBot="1">
      <c r="A61" s="40" t="s">
        <v>20</v>
      </c>
      <c r="B61" s="41" t="s">
        <v>21</v>
      </c>
      <c r="C61" s="42">
        <v>966</v>
      </c>
      <c r="D61" s="43" t="s">
        <v>84</v>
      </c>
      <c r="E61" s="43" t="s">
        <v>172</v>
      </c>
      <c r="F61" s="42"/>
      <c r="G61" s="42"/>
      <c r="H61" s="62">
        <f>H62+H71+H86</f>
        <v>23226.3</v>
      </c>
      <c r="I61"/>
    </row>
    <row r="62" spans="1:9" ht="56.25">
      <c r="A62" s="17" t="s">
        <v>22</v>
      </c>
      <c r="B62" s="103" t="s">
        <v>105</v>
      </c>
      <c r="C62" s="45">
        <v>966</v>
      </c>
      <c r="D62" s="46" t="s">
        <v>84</v>
      </c>
      <c r="E62" s="57" t="s">
        <v>172</v>
      </c>
      <c r="F62" s="45">
        <v>100</v>
      </c>
      <c r="G62" s="45"/>
      <c r="H62" s="51">
        <f>H63</f>
        <v>19537.2</v>
      </c>
      <c r="I62"/>
    </row>
    <row r="63" spans="1:9" ht="22.5">
      <c r="A63" s="17"/>
      <c r="B63" s="20" t="s">
        <v>6</v>
      </c>
      <c r="C63" s="27">
        <v>966</v>
      </c>
      <c r="D63" s="1" t="s">
        <v>84</v>
      </c>
      <c r="E63" s="1" t="s">
        <v>172</v>
      </c>
      <c r="F63" s="27">
        <v>120</v>
      </c>
      <c r="G63" s="27"/>
      <c r="H63" s="26">
        <f>H64+H66+H69</f>
        <v>19537.2</v>
      </c>
      <c r="I63"/>
    </row>
    <row r="64" spans="1:9" ht="22.5" hidden="1">
      <c r="A64" s="16"/>
      <c r="B64" s="20" t="s">
        <v>210</v>
      </c>
      <c r="C64" s="27">
        <v>966</v>
      </c>
      <c r="D64" s="1" t="s">
        <v>84</v>
      </c>
      <c r="E64" s="1" t="s">
        <v>172</v>
      </c>
      <c r="F64" s="22">
        <v>121</v>
      </c>
      <c r="G64" s="22"/>
      <c r="H64" s="25">
        <f>H65</f>
        <v>15247.4</v>
      </c>
      <c r="I64"/>
    </row>
    <row r="65" spans="1:12" ht="12.75" hidden="1">
      <c r="A65" s="16"/>
      <c r="B65" s="20" t="s">
        <v>206</v>
      </c>
      <c r="C65" s="27">
        <v>966</v>
      </c>
      <c r="D65" s="1" t="s">
        <v>84</v>
      </c>
      <c r="E65" s="1" t="s">
        <v>172</v>
      </c>
      <c r="F65" s="22">
        <v>121</v>
      </c>
      <c r="G65" s="22">
        <v>211</v>
      </c>
      <c r="H65" s="25">
        <f>16221.4-58.8-915.2</f>
        <v>15247.4</v>
      </c>
      <c r="I65"/>
      <c r="L65">
        <v>-915.2</v>
      </c>
    </row>
    <row r="66" spans="1:9" ht="33.75" hidden="1">
      <c r="A66" s="16"/>
      <c r="B66" s="20" t="s">
        <v>250</v>
      </c>
      <c r="C66" s="27">
        <v>966</v>
      </c>
      <c r="D66" s="1" t="s">
        <v>84</v>
      </c>
      <c r="E66" s="1" t="s">
        <v>172</v>
      </c>
      <c r="F66" s="22">
        <v>122</v>
      </c>
      <c r="G66" s="22"/>
      <c r="H66" s="25">
        <f>H67+H68</f>
        <v>129.5</v>
      </c>
      <c r="I66"/>
    </row>
    <row r="67" spans="1:9" ht="12.75" hidden="1">
      <c r="A67" s="16"/>
      <c r="B67" s="20" t="s">
        <v>249</v>
      </c>
      <c r="C67" s="27">
        <v>966</v>
      </c>
      <c r="D67" s="1" t="s">
        <v>84</v>
      </c>
      <c r="E67" s="1" t="s">
        <v>172</v>
      </c>
      <c r="F67" s="22">
        <v>122</v>
      </c>
      <c r="G67" s="22">
        <v>212</v>
      </c>
      <c r="H67" s="25">
        <v>0.1</v>
      </c>
      <c r="I67"/>
    </row>
    <row r="68" spans="1:13" ht="12.75" hidden="1">
      <c r="A68" s="16"/>
      <c r="B68" s="20" t="s">
        <v>216</v>
      </c>
      <c r="C68" s="27">
        <v>966</v>
      </c>
      <c r="D68" s="1" t="s">
        <v>84</v>
      </c>
      <c r="E68" s="1" t="s">
        <v>172</v>
      </c>
      <c r="F68" s="22">
        <v>122</v>
      </c>
      <c r="G68" s="22">
        <v>222</v>
      </c>
      <c r="H68" s="25">
        <f>220-84.9-5.7</f>
        <v>129.4</v>
      </c>
      <c r="I68" t="s">
        <v>251</v>
      </c>
      <c r="L68">
        <v>-84.9</v>
      </c>
      <c r="M68">
        <v>-5.7</v>
      </c>
    </row>
    <row r="69" spans="1:9" ht="33.75" hidden="1">
      <c r="A69" s="16"/>
      <c r="B69" s="20" t="s">
        <v>209</v>
      </c>
      <c r="C69" s="27">
        <v>966</v>
      </c>
      <c r="D69" s="1" t="s">
        <v>84</v>
      </c>
      <c r="E69" s="1" t="s">
        <v>172</v>
      </c>
      <c r="F69" s="22">
        <v>129</v>
      </c>
      <c r="G69" s="22"/>
      <c r="H69" s="25">
        <f>H70</f>
        <v>4160.3</v>
      </c>
      <c r="I69"/>
    </row>
    <row r="70" spans="1:13" ht="12.75" hidden="1">
      <c r="A70" s="16"/>
      <c r="B70" s="20" t="s">
        <v>207</v>
      </c>
      <c r="C70" s="27">
        <v>966</v>
      </c>
      <c r="D70" s="1" t="s">
        <v>84</v>
      </c>
      <c r="E70" s="1" t="s">
        <v>172</v>
      </c>
      <c r="F70" s="22">
        <v>129</v>
      </c>
      <c r="G70" s="22">
        <v>213</v>
      </c>
      <c r="H70" s="25">
        <f>4892.5-11.4-5.2-271.2-445.3+0.9</f>
        <v>4160.3</v>
      </c>
      <c r="I70"/>
      <c r="L70">
        <v>-271.2</v>
      </c>
      <c r="M70">
        <v>-445.3</v>
      </c>
    </row>
    <row r="71" spans="1:9" ht="22.5">
      <c r="A71" s="17" t="s">
        <v>23</v>
      </c>
      <c r="B71" s="35" t="s">
        <v>24</v>
      </c>
      <c r="C71" s="27">
        <v>966</v>
      </c>
      <c r="D71" s="17" t="s">
        <v>84</v>
      </c>
      <c r="E71" s="1" t="s">
        <v>172</v>
      </c>
      <c r="F71" s="23">
        <v>200</v>
      </c>
      <c r="G71" s="23"/>
      <c r="H71" s="26">
        <f>H72</f>
        <v>3639.3</v>
      </c>
      <c r="I71"/>
    </row>
    <row r="72" spans="1:9" ht="22.5">
      <c r="A72" s="17"/>
      <c r="B72" s="5" t="s">
        <v>108</v>
      </c>
      <c r="C72" s="27">
        <v>966</v>
      </c>
      <c r="D72" s="17" t="s">
        <v>84</v>
      </c>
      <c r="E72" s="1" t="s">
        <v>172</v>
      </c>
      <c r="F72" s="23">
        <v>240</v>
      </c>
      <c r="G72" s="23"/>
      <c r="H72" s="26">
        <f>H73+H78-49.7-15.6+28</f>
        <v>3639.3</v>
      </c>
      <c r="I72"/>
    </row>
    <row r="73" spans="1:9" ht="22.5" hidden="1">
      <c r="A73" s="17"/>
      <c r="B73" s="7" t="s">
        <v>202</v>
      </c>
      <c r="C73" s="27">
        <v>966</v>
      </c>
      <c r="D73" s="1" t="s">
        <v>84</v>
      </c>
      <c r="E73" s="1" t="s">
        <v>172</v>
      </c>
      <c r="F73" s="27">
        <v>242</v>
      </c>
      <c r="G73" s="27"/>
      <c r="H73" s="26">
        <f>H74+H75+H76+H77</f>
        <v>814.6</v>
      </c>
      <c r="I73"/>
    </row>
    <row r="74" spans="1:13" ht="12.75" hidden="1">
      <c r="A74" s="17"/>
      <c r="B74" s="7" t="s">
        <v>211</v>
      </c>
      <c r="C74" s="27">
        <v>966</v>
      </c>
      <c r="D74" s="1" t="s">
        <v>84</v>
      </c>
      <c r="E74" s="1" t="s">
        <v>172</v>
      </c>
      <c r="F74" s="27">
        <v>242</v>
      </c>
      <c r="G74" s="27">
        <v>221</v>
      </c>
      <c r="H74" s="26">
        <f>188.5+174.9-37+5.1</f>
        <v>331.5</v>
      </c>
      <c r="I74"/>
      <c r="L74">
        <v>-37</v>
      </c>
      <c r="M74">
        <v>5.1</v>
      </c>
    </row>
    <row r="75" spans="1:12" ht="12.75" hidden="1">
      <c r="A75" s="17"/>
      <c r="B75" s="7" t="s">
        <v>208</v>
      </c>
      <c r="C75" s="27">
        <v>966</v>
      </c>
      <c r="D75" s="1" t="s">
        <v>84</v>
      </c>
      <c r="E75" s="1" t="s">
        <v>172</v>
      </c>
      <c r="F75" s="27">
        <v>242</v>
      </c>
      <c r="G75" s="27">
        <v>226</v>
      </c>
      <c r="H75" s="26">
        <f>500+22-47.3+2.5</f>
        <v>477.2</v>
      </c>
      <c r="I75"/>
      <c r="L75">
        <v>-47.3</v>
      </c>
    </row>
    <row r="76" spans="1:12" ht="12.75" hidden="1">
      <c r="A76" s="17"/>
      <c r="B76" s="5" t="s">
        <v>218</v>
      </c>
      <c r="C76" s="23">
        <v>966</v>
      </c>
      <c r="D76" s="17" t="s">
        <v>84</v>
      </c>
      <c r="E76" s="1" t="s">
        <v>172</v>
      </c>
      <c r="F76" s="23">
        <v>242</v>
      </c>
      <c r="G76" s="107">
        <v>310</v>
      </c>
      <c r="H76" s="26">
        <f>50-46.2</f>
        <v>3.799999999999997</v>
      </c>
      <c r="I76"/>
      <c r="L76">
        <v>-46.2</v>
      </c>
    </row>
    <row r="77" spans="1:12" ht="12.75" hidden="1">
      <c r="A77" s="17"/>
      <c r="B77" s="5" t="s">
        <v>217</v>
      </c>
      <c r="C77" s="23">
        <v>966</v>
      </c>
      <c r="D77" s="17" t="s">
        <v>84</v>
      </c>
      <c r="E77" s="1" t="s">
        <v>172</v>
      </c>
      <c r="F77" s="23">
        <v>242</v>
      </c>
      <c r="G77" s="107">
        <v>340</v>
      </c>
      <c r="H77" s="26">
        <f>100-97.9</f>
        <v>2.0999999999999943</v>
      </c>
      <c r="I77"/>
      <c r="L77">
        <v>-97.9</v>
      </c>
    </row>
    <row r="78" spans="1:9" ht="22.5" hidden="1">
      <c r="A78" s="17"/>
      <c r="B78" s="108" t="s">
        <v>199</v>
      </c>
      <c r="C78" s="27">
        <v>966</v>
      </c>
      <c r="D78" s="1" t="s">
        <v>84</v>
      </c>
      <c r="E78" s="1" t="s">
        <v>172</v>
      </c>
      <c r="F78" s="27">
        <v>244</v>
      </c>
      <c r="G78" s="27"/>
      <c r="H78" s="26">
        <f>SUM(H79:H85)</f>
        <v>2862</v>
      </c>
      <c r="I78"/>
    </row>
    <row r="79" spans="1:13" ht="12.75" hidden="1">
      <c r="A79" s="17"/>
      <c r="B79" s="5" t="s">
        <v>211</v>
      </c>
      <c r="C79" s="27">
        <v>966</v>
      </c>
      <c r="D79" s="16" t="s">
        <v>84</v>
      </c>
      <c r="E79" s="1" t="s">
        <v>172</v>
      </c>
      <c r="F79" s="22">
        <v>244</v>
      </c>
      <c r="G79" s="22">
        <v>221</v>
      </c>
      <c r="H79" s="25">
        <f>161+439-100-136.5-32.8</f>
        <v>330.7</v>
      </c>
      <c r="I79"/>
      <c r="L79">
        <v>-136.5</v>
      </c>
      <c r="M79">
        <v>-32.8</v>
      </c>
    </row>
    <row r="80" spans="1:12" ht="12.75" hidden="1">
      <c r="A80" s="17"/>
      <c r="B80" s="5" t="s">
        <v>216</v>
      </c>
      <c r="C80" s="27">
        <v>966</v>
      </c>
      <c r="D80" s="16" t="s">
        <v>84</v>
      </c>
      <c r="E80" s="1" t="s">
        <v>172</v>
      </c>
      <c r="F80" s="22">
        <v>244</v>
      </c>
      <c r="G80" s="23">
        <v>222</v>
      </c>
      <c r="H80" s="26">
        <f>290.6+29.4-220-88</f>
        <v>12</v>
      </c>
      <c r="I80" t="s">
        <v>251</v>
      </c>
      <c r="L80">
        <v>-88</v>
      </c>
    </row>
    <row r="81" spans="1:9" ht="12.75" hidden="1">
      <c r="A81" s="17"/>
      <c r="B81" s="6" t="s">
        <v>212</v>
      </c>
      <c r="C81" s="27">
        <v>966</v>
      </c>
      <c r="D81" s="16" t="s">
        <v>84</v>
      </c>
      <c r="E81" s="1" t="s">
        <v>172</v>
      </c>
      <c r="F81" s="22">
        <v>244</v>
      </c>
      <c r="G81" s="23">
        <v>223</v>
      </c>
      <c r="H81" s="26">
        <f>100-50</f>
        <v>50</v>
      </c>
      <c r="I81"/>
    </row>
    <row r="82" spans="1:11" ht="12.75" hidden="1">
      <c r="A82" s="17"/>
      <c r="B82" s="6" t="s">
        <v>213</v>
      </c>
      <c r="C82" s="27">
        <v>966</v>
      </c>
      <c r="D82" s="16" t="s">
        <v>84</v>
      </c>
      <c r="E82" s="1" t="s">
        <v>172</v>
      </c>
      <c r="F82" s="22">
        <v>244</v>
      </c>
      <c r="G82" s="23">
        <v>225</v>
      </c>
      <c r="H82" s="26">
        <f>98.4+100.1+1000+68.4+100</f>
        <v>1366.9</v>
      </c>
      <c r="I82"/>
      <c r="K82">
        <v>2</v>
      </c>
    </row>
    <row r="83" spans="1:12" ht="12.75" hidden="1">
      <c r="A83" s="17"/>
      <c r="B83" s="5" t="s">
        <v>208</v>
      </c>
      <c r="C83" s="27">
        <v>966</v>
      </c>
      <c r="D83" s="16" t="s">
        <v>84</v>
      </c>
      <c r="E83" s="1" t="s">
        <v>172</v>
      </c>
      <c r="F83" s="22">
        <v>244</v>
      </c>
      <c r="G83" s="23">
        <v>226</v>
      </c>
      <c r="H83" s="26">
        <f>922.4-492.9-39.7</f>
        <v>389.8</v>
      </c>
      <c r="I83"/>
      <c r="L83">
        <v>-39.7</v>
      </c>
    </row>
    <row r="84" spans="1:11" ht="12.75" hidden="1">
      <c r="A84" s="17"/>
      <c r="B84" s="5" t="s">
        <v>218</v>
      </c>
      <c r="C84" s="27">
        <v>966</v>
      </c>
      <c r="D84" s="17" t="s">
        <v>84</v>
      </c>
      <c r="E84" s="1" t="s">
        <v>172</v>
      </c>
      <c r="F84" s="23">
        <v>244</v>
      </c>
      <c r="G84" s="23">
        <v>310</v>
      </c>
      <c r="H84" s="26">
        <f>202.4-172.4+3430.1-25.6-300-190-200-2000-68.4-515</f>
        <v>161.10000000000002</v>
      </c>
      <c r="I84"/>
      <c r="K84">
        <v>2</v>
      </c>
    </row>
    <row r="85" spans="1:12" ht="12.75" hidden="1">
      <c r="A85" s="17"/>
      <c r="B85" s="5" t="s">
        <v>217</v>
      </c>
      <c r="C85" s="27">
        <v>966</v>
      </c>
      <c r="D85" s="17" t="s">
        <v>84</v>
      </c>
      <c r="E85" s="1" t="s">
        <v>172</v>
      </c>
      <c r="F85" s="23">
        <v>244</v>
      </c>
      <c r="G85" s="23">
        <v>340</v>
      </c>
      <c r="H85" s="26">
        <f>224.2+165.8+200+237.8+70-346.3</f>
        <v>551.5</v>
      </c>
      <c r="I85"/>
      <c r="L85">
        <v>70</v>
      </c>
    </row>
    <row r="86" spans="1:9" ht="12.75">
      <c r="A86" s="1" t="s">
        <v>223</v>
      </c>
      <c r="B86" s="7" t="s">
        <v>109</v>
      </c>
      <c r="C86" s="27">
        <v>966</v>
      </c>
      <c r="D86" s="1" t="s">
        <v>84</v>
      </c>
      <c r="E86" s="1" t="s">
        <v>172</v>
      </c>
      <c r="F86" s="107">
        <v>800</v>
      </c>
      <c r="G86" s="107"/>
      <c r="H86" s="26">
        <f>H87+H90</f>
        <v>49.800000000000004</v>
      </c>
      <c r="I86"/>
    </row>
    <row r="87" spans="1:9" ht="12.75">
      <c r="A87" s="9"/>
      <c r="B87" s="8" t="s">
        <v>97</v>
      </c>
      <c r="C87" s="27">
        <v>966</v>
      </c>
      <c r="D87" s="1" t="s">
        <v>84</v>
      </c>
      <c r="E87" s="1" t="s">
        <v>172</v>
      </c>
      <c r="F87" s="23">
        <v>830</v>
      </c>
      <c r="G87" s="23"/>
      <c r="H87" s="26">
        <f>H88</f>
        <v>47.7</v>
      </c>
      <c r="I87"/>
    </row>
    <row r="88" spans="1:9" ht="78.75" hidden="1">
      <c r="A88" s="9"/>
      <c r="B88" s="109" t="s">
        <v>205</v>
      </c>
      <c r="C88" s="29">
        <v>966</v>
      </c>
      <c r="D88" s="9" t="s">
        <v>84</v>
      </c>
      <c r="E88" s="1" t="s">
        <v>172</v>
      </c>
      <c r="F88" s="22">
        <v>831</v>
      </c>
      <c r="G88" s="22"/>
      <c r="H88" s="25">
        <f>H89</f>
        <v>47.7</v>
      </c>
      <c r="I88"/>
    </row>
    <row r="89" spans="1:13" ht="12.75" hidden="1">
      <c r="A89" s="9"/>
      <c r="B89" s="113" t="s">
        <v>203</v>
      </c>
      <c r="C89" s="29">
        <v>966</v>
      </c>
      <c r="D89" s="9" t="s">
        <v>84</v>
      </c>
      <c r="E89" s="1" t="s">
        <v>172</v>
      </c>
      <c r="F89" s="22">
        <v>831</v>
      </c>
      <c r="G89" s="22">
        <v>290</v>
      </c>
      <c r="H89" s="25">
        <f>100-52.3</f>
        <v>47.7</v>
      </c>
      <c r="I89"/>
      <c r="M89">
        <v>-52.3</v>
      </c>
    </row>
    <row r="90" spans="1:9" ht="13.5" thickBot="1">
      <c r="A90" s="9"/>
      <c r="B90" s="113" t="s">
        <v>14</v>
      </c>
      <c r="C90" s="27">
        <v>966</v>
      </c>
      <c r="D90" s="1" t="s">
        <v>84</v>
      </c>
      <c r="E90" s="9" t="s">
        <v>172</v>
      </c>
      <c r="F90" s="23">
        <v>850</v>
      </c>
      <c r="G90" s="23"/>
      <c r="H90" s="26">
        <f>H93+H91-0.2</f>
        <v>2.0999999999999996</v>
      </c>
      <c r="I90"/>
    </row>
    <row r="91" spans="1:9" ht="22.5" hidden="1">
      <c r="A91" s="9"/>
      <c r="B91" s="152" t="s">
        <v>252</v>
      </c>
      <c r="C91" s="29">
        <v>966</v>
      </c>
      <c r="D91" s="9" t="s">
        <v>84</v>
      </c>
      <c r="E91" s="1" t="s">
        <v>172</v>
      </c>
      <c r="F91" s="22">
        <v>851</v>
      </c>
      <c r="G91" s="22"/>
      <c r="H91" s="25">
        <f>H92</f>
        <v>0.3</v>
      </c>
      <c r="I91"/>
    </row>
    <row r="92" spans="1:11" ht="12.75" hidden="1">
      <c r="A92" s="9"/>
      <c r="B92" s="141" t="s">
        <v>203</v>
      </c>
      <c r="C92" s="29">
        <v>966</v>
      </c>
      <c r="D92" s="9" t="s">
        <v>84</v>
      </c>
      <c r="E92" s="1" t="s">
        <v>172</v>
      </c>
      <c r="F92" s="22">
        <v>851</v>
      </c>
      <c r="G92" s="22">
        <v>290</v>
      </c>
      <c r="H92" s="25">
        <v>0.3</v>
      </c>
      <c r="I92"/>
      <c r="K92">
        <v>2</v>
      </c>
    </row>
    <row r="93" spans="1:9" ht="12.75" hidden="1">
      <c r="A93" s="9"/>
      <c r="B93" s="109" t="s">
        <v>215</v>
      </c>
      <c r="C93" s="29">
        <v>966</v>
      </c>
      <c r="D93" s="9" t="s">
        <v>84</v>
      </c>
      <c r="E93" s="9" t="s">
        <v>172</v>
      </c>
      <c r="F93" s="22">
        <v>853</v>
      </c>
      <c r="G93" s="22"/>
      <c r="H93" s="25">
        <f>H94</f>
        <v>2</v>
      </c>
      <c r="I93"/>
    </row>
    <row r="94" spans="1:9" ht="13.5" hidden="1" thickBot="1">
      <c r="A94" s="9"/>
      <c r="B94" s="113" t="s">
        <v>203</v>
      </c>
      <c r="C94" s="29">
        <v>966</v>
      </c>
      <c r="D94" s="9" t="s">
        <v>84</v>
      </c>
      <c r="E94" s="104" t="s">
        <v>172</v>
      </c>
      <c r="F94" s="22">
        <v>853</v>
      </c>
      <c r="G94" s="22">
        <v>290</v>
      </c>
      <c r="H94" s="158">
        <f>1+1</f>
        <v>2</v>
      </c>
      <c r="I94"/>
    </row>
    <row r="95" spans="1:9" ht="45.75" thickBot="1">
      <c r="A95" s="40" t="s">
        <v>225</v>
      </c>
      <c r="B95" s="63" t="s">
        <v>131</v>
      </c>
      <c r="C95" s="42">
        <v>966</v>
      </c>
      <c r="D95" s="43" t="s">
        <v>84</v>
      </c>
      <c r="E95" s="43" t="s">
        <v>228</v>
      </c>
      <c r="F95" s="42"/>
      <c r="G95" s="42"/>
      <c r="H95" s="62">
        <f>H96</f>
        <v>6</v>
      </c>
      <c r="I95"/>
    </row>
    <row r="96" spans="1:9" ht="22.5">
      <c r="A96" s="58" t="s">
        <v>226</v>
      </c>
      <c r="B96" s="117" t="s">
        <v>24</v>
      </c>
      <c r="C96" s="45">
        <v>966</v>
      </c>
      <c r="D96" s="46" t="s">
        <v>84</v>
      </c>
      <c r="E96" s="58" t="s">
        <v>228</v>
      </c>
      <c r="F96" s="45">
        <v>200</v>
      </c>
      <c r="G96" s="45"/>
      <c r="H96" s="51">
        <f>H97</f>
        <v>6</v>
      </c>
      <c r="I96"/>
    </row>
    <row r="97" spans="1:9" ht="23.25" thickBot="1">
      <c r="A97" s="1"/>
      <c r="B97" s="5" t="s">
        <v>108</v>
      </c>
      <c r="C97" s="107">
        <v>966</v>
      </c>
      <c r="D97" s="106" t="s">
        <v>84</v>
      </c>
      <c r="E97" s="1" t="s">
        <v>228</v>
      </c>
      <c r="F97" s="107">
        <v>240</v>
      </c>
      <c r="G97" s="107"/>
      <c r="H97" s="26">
        <f>H98</f>
        <v>6</v>
      </c>
      <c r="I97"/>
    </row>
    <row r="98" spans="1:9" ht="22.5" hidden="1">
      <c r="A98" s="9"/>
      <c r="B98" s="114" t="s">
        <v>199</v>
      </c>
      <c r="C98" s="115">
        <v>966</v>
      </c>
      <c r="D98" s="116" t="s">
        <v>84</v>
      </c>
      <c r="E98" s="9" t="s">
        <v>228</v>
      </c>
      <c r="F98" s="115">
        <v>244</v>
      </c>
      <c r="G98" s="115"/>
      <c r="H98" s="25">
        <f>H99</f>
        <v>6</v>
      </c>
      <c r="I98"/>
    </row>
    <row r="99" spans="1:9" ht="13.5" hidden="1" thickBot="1">
      <c r="A99" s="52"/>
      <c r="B99" s="6" t="s">
        <v>217</v>
      </c>
      <c r="C99" s="53">
        <v>966</v>
      </c>
      <c r="D99" s="46" t="s">
        <v>84</v>
      </c>
      <c r="E99" s="58" t="s">
        <v>228</v>
      </c>
      <c r="F99" s="45">
        <v>244</v>
      </c>
      <c r="G99" s="45">
        <v>340</v>
      </c>
      <c r="H99" s="51">
        <v>6</v>
      </c>
      <c r="I99"/>
    </row>
    <row r="100" spans="1:9" ht="45.75" thickBot="1">
      <c r="A100" s="40" t="s">
        <v>95</v>
      </c>
      <c r="B100" s="41" t="s">
        <v>124</v>
      </c>
      <c r="C100" s="42"/>
      <c r="D100" s="43" t="s">
        <v>84</v>
      </c>
      <c r="E100" s="43" t="s">
        <v>229</v>
      </c>
      <c r="F100" s="42"/>
      <c r="G100" s="42"/>
      <c r="H100" s="62">
        <f>H101+H110</f>
        <v>4106.2</v>
      </c>
      <c r="I100"/>
    </row>
    <row r="101" spans="1:9" ht="56.25">
      <c r="A101" s="9" t="s">
        <v>96</v>
      </c>
      <c r="B101" s="10" t="s">
        <v>105</v>
      </c>
      <c r="C101" s="29">
        <v>966</v>
      </c>
      <c r="D101" s="9" t="s">
        <v>84</v>
      </c>
      <c r="E101" s="9" t="s">
        <v>229</v>
      </c>
      <c r="F101" s="29">
        <v>100</v>
      </c>
      <c r="G101" s="29"/>
      <c r="H101" s="25">
        <f>H102</f>
        <v>3875</v>
      </c>
      <c r="I101"/>
    </row>
    <row r="102" spans="1:9" ht="22.5">
      <c r="A102" s="17"/>
      <c r="B102" s="20" t="s">
        <v>6</v>
      </c>
      <c r="C102" s="27">
        <v>966</v>
      </c>
      <c r="D102" s="9" t="s">
        <v>84</v>
      </c>
      <c r="E102" s="9" t="s">
        <v>229</v>
      </c>
      <c r="F102" s="27">
        <v>120</v>
      </c>
      <c r="G102" s="27"/>
      <c r="H102" s="26">
        <f>H103+H105+H108</f>
        <v>3875</v>
      </c>
      <c r="I102"/>
    </row>
    <row r="103" spans="1:9" ht="22.5" hidden="1">
      <c r="A103" s="16"/>
      <c r="B103" s="20" t="s">
        <v>210</v>
      </c>
      <c r="C103" s="27">
        <v>966</v>
      </c>
      <c r="D103" s="9" t="s">
        <v>84</v>
      </c>
      <c r="E103" s="9" t="s">
        <v>229</v>
      </c>
      <c r="F103" s="22">
        <v>121</v>
      </c>
      <c r="G103" s="22"/>
      <c r="H103" s="25">
        <f>H104</f>
        <v>2940.6</v>
      </c>
      <c r="I103"/>
    </row>
    <row r="104" spans="1:9" ht="12.75" hidden="1">
      <c r="A104" s="16"/>
      <c r="B104" s="20" t="s">
        <v>206</v>
      </c>
      <c r="C104" s="27">
        <v>966</v>
      </c>
      <c r="D104" s="9" t="s">
        <v>84</v>
      </c>
      <c r="E104" s="9" t="s">
        <v>229</v>
      </c>
      <c r="F104" s="22">
        <v>121</v>
      </c>
      <c r="G104" s="22">
        <v>211</v>
      </c>
      <c r="H104" s="25">
        <v>2940.6</v>
      </c>
      <c r="I104"/>
    </row>
    <row r="105" spans="1:9" ht="33.75" hidden="1">
      <c r="A105" s="16"/>
      <c r="B105" s="20" t="s">
        <v>250</v>
      </c>
      <c r="C105" s="27">
        <v>966</v>
      </c>
      <c r="D105" s="9" t="s">
        <v>84</v>
      </c>
      <c r="E105" s="9" t="s">
        <v>229</v>
      </c>
      <c r="F105" s="22">
        <v>122</v>
      </c>
      <c r="G105" s="22"/>
      <c r="H105" s="25">
        <f>SUM(H106:H107)</f>
        <v>46.300000000000004</v>
      </c>
      <c r="I105" t="s">
        <v>251</v>
      </c>
    </row>
    <row r="106" spans="1:12" ht="12.75" hidden="1">
      <c r="A106" s="16"/>
      <c r="B106" s="20" t="s">
        <v>249</v>
      </c>
      <c r="C106" s="27">
        <v>966</v>
      </c>
      <c r="D106" s="9" t="s">
        <v>84</v>
      </c>
      <c r="E106" s="9" t="s">
        <v>229</v>
      </c>
      <c r="F106" s="22">
        <v>122</v>
      </c>
      <c r="G106" s="22">
        <v>212</v>
      </c>
      <c r="H106" s="25">
        <v>0.2</v>
      </c>
      <c r="I106" t="s">
        <v>251</v>
      </c>
      <c r="L106">
        <v>0.2</v>
      </c>
    </row>
    <row r="107" spans="1:13" ht="12.75" hidden="1">
      <c r="A107" s="16"/>
      <c r="B107" s="20" t="s">
        <v>216</v>
      </c>
      <c r="C107" s="27">
        <v>966</v>
      </c>
      <c r="D107" s="9" t="s">
        <v>84</v>
      </c>
      <c r="E107" s="9" t="s">
        <v>229</v>
      </c>
      <c r="F107" s="22">
        <v>122</v>
      </c>
      <c r="G107" s="22">
        <v>222</v>
      </c>
      <c r="H107" s="25">
        <f>80-20.4-13.5</f>
        <v>46.1</v>
      </c>
      <c r="I107" t="s">
        <v>251</v>
      </c>
      <c r="L107">
        <v>-20.4</v>
      </c>
      <c r="M107">
        <v>-13.5</v>
      </c>
    </row>
    <row r="108" spans="1:9" ht="33.75" hidden="1">
      <c r="A108" s="16"/>
      <c r="B108" s="20" t="s">
        <v>209</v>
      </c>
      <c r="C108" s="27">
        <v>966</v>
      </c>
      <c r="D108" s="9" t="s">
        <v>84</v>
      </c>
      <c r="E108" s="9" t="s">
        <v>229</v>
      </c>
      <c r="F108" s="22">
        <v>129</v>
      </c>
      <c r="G108" s="22"/>
      <c r="H108" s="25">
        <f>H109</f>
        <v>888.1</v>
      </c>
      <c r="I108"/>
    </row>
    <row r="109" spans="1:9" ht="12.75" hidden="1">
      <c r="A109" s="16"/>
      <c r="B109" s="20" t="s">
        <v>207</v>
      </c>
      <c r="C109" s="27">
        <v>966</v>
      </c>
      <c r="D109" s="9" t="s">
        <v>84</v>
      </c>
      <c r="E109" s="9" t="s">
        <v>229</v>
      </c>
      <c r="F109" s="22">
        <v>129</v>
      </c>
      <c r="G109" s="22">
        <v>213</v>
      </c>
      <c r="H109" s="25">
        <v>888.1</v>
      </c>
      <c r="I109"/>
    </row>
    <row r="110" spans="1:9" ht="22.5">
      <c r="A110" s="9" t="s">
        <v>227</v>
      </c>
      <c r="B110" s="108" t="s">
        <v>24</v>
      </c>
      <c r="C110" s="27">
        <v>966</v>
      </c>
      <c r="D110" s="1" t="s">
        <v>84</v>
      </c>
      <c r="E110" s="9" t="s">
        <v>229</v>
      </c>
      <c r="F110" s="27">
        <v>200</v>
      </c>
      <c r="G110" s="27"/>
      <c r="H110" s="26">
        <f>H111</f>
        <v>231.2</v>
      </c>
      <c r="I110"/>
    </row>
    <row r="111" spans="1:9" ht="23.25" thickBot="1">
      <c r="A111" s="9"/>
      <c r="B111" s="5" t="s">
        <v>108</v>
      </c>
      <c r="C111" s="27">
        <v>966</v>
      </c>
      <c r="D111" s="1" t="s">
        <v>84</v>
      </c>
      <c r="E111" s="9" t="s">
        <v>229</v>
      </c>
      <c r="F111" s="27">
        <v>240</v>
      </c>
      <c r="G111" s="27"/>
      <c r="H111" s="26">
        <f>H112+H114</f>
        <v>231.2</v>
      </c>
      <c r="I111"/>
    </row>
    <row r="112" spans="1:9" ht="22.5" hidden="1">
      <c r="A112" s="9"/>
      <c r="B112" s="7" t="s">
        <v>202</v>
      </c>
      <c r="C112" s="27">
        <v>966</v>
      </c>
      <c r="D112" s="1" t="s">
        <v>84</v>
      </c>
      <c r="E112" s="9" t="s">
        <v>229</v>
      </c>
      <c r="F112" s="27">
        <v>242</v>
      </c>
      <c r="G112" s="27"/>
      <c r="H112" s="156">
        <f>SUM(H113:H113)</f>
        <v>103.5</v>
      </c>
      <c r="I112"/>
    </row>
    <row r="113" spans="1:13" ht="12.75" hidden="1">
      <c r="A113" s="17"/>
      <c r="B113" s="7" t="s">
        <v>211</v>
      </c>
      <c r="C113" s="27">
        <v>966</v>
      </c>
      <c r="D113" s="1" t="s">
        <v>84</v>
      </c>
      <c r="E113" s="9" t="s">
        <v>229</v>
      </c>
      <c r="F113" s="27">
        <v>242</v>
      </c>
      <c r="G113" s="27">
        <v>221</v>
      </c>
      <c r="H113" s="156">
        <f>87+3+13.5</f>
        <v>103.5</v>
      </c>
      <c r="I113"/>
      <c r="M113">
        <v>13.5</v>
      </c>
    </row>
    <row r="114" spans="1:9" ht="22.5" hidden="1">
      <c r="A114" s="17"/>
      <c r="B114" s="108" t="s">
        <v>199</v>
      </c>
      <c r="C114" s="27">
        <v>966</v>
      </c>
      <c r="D114" s="1" t="s">
        <v>84</v>
      </c>
      <c r="E114" s="9" t="s">
        <v>229</v>
      </c>
      <c r="F114" s="27">
        <v>244</v>
      </c>
      <c r="G114" s="27"/>
      <c r="H114" s="156">
        <f>SUM(H115:H118)</f>
        <v>127.7</v>
      </c>
      <c r="I114"/>
    </row>
    <row r="115" spans="1:12" ht="12" customHeight="1" hidden="1">
      <c r="A115" s="17"/>
      <c r="B115" s="5" t="s">
        <v>211</v>
      </c>
      <c r="C115" s="27">
        <v>966</v>
      </c>
      <c r="D115" s="1" t="s">
        <v>84</v>
      </c>
      <c r="E115" s="9" t="s">
        <v>229</v>
      </c>
      <c r="F115" s="22">
        <v>244</v>
      </c>
      <c r="G115" s="22">
        <v>221</v>
      </c>
      <c r="H115" s="158">
        <v>0</v>
      </c>
      <c r="I115"/>
      <c r="L115">
        <v>-96.9</v>
      </c>
    </row>
    <row r="116" spans="1:9" ht="10.5" customHeight="1" hidden="1">
      <c r="A116" s="17"/>
      <c r="B116" s="6" t="s">
        <v>216</v>
      </c>
      <c r="C116" s="27">
        <v>966</v>
      </c>
      <c r="D116" s="1" t="s">
        <v>84</v>
      </c>
      <c r="E116" s="9" t="s">
        <v>229</v>
      </c>
      <c r="F116" s="22">
        <v>244</v>
      </c>
      <c r="G116" s="22">
        <v>222</v>
      </c>
      <c r="H116" s="158">
        <f>80-80</f>
        <v>0</v>
      </c>
      <c r="I116" t="s">
        <v>251</v>
      </c>
    </row>
    <row r="117" spans="1:12" ht="12" customHeight="1" hidden="1">
      <c r="A117" s="17"/>
      <c r="B117" s="7" t="s">
        <v>208</v>
      </c>
      <c r="C117" s="27">
        <v>966</v>
      </c>
      <c r="D117" s="1" t="s">
        <v>84</v>
      </c>
      <c r="E117" s="9" t="s">
        <v>229</v>
      </c>
      <c r="F117" s="22">
        <v>244</v>
      </c>
      <c r="G117" s="22">
        <v>226</v>
      </c>
      <c r="H117" s="158">
        <v>0.7</v>
      </c>
      <c r="I117"/>
      <c r="L117">
        <v>0.7</v>
      </c>
    </row>
    <row r="118" spans="1:12" ht="13.5" customHeight="1" hidden="1" thickBot="1">
      <c r="A118" s="17"/>
      <c r="B118" s="6" t="s">
        <v>217</v>
      </c>
      <c r="C118" s="27">
        <v>966</v>
      </c>
      <c r="D118" s="1" t="s">
        <v>84</v>
      </c>
      <c r="E118" s="9" t="s">
        <v>229</v>
      </c>
      <c r="F118" s="22">
        <v>244</v>
      </c>
      <c r="G118" s="23">
        <v>340</v>
      </c>
      <c r="H118" s="156">
        <f>10.6+20.4+96.9-0.2-0.7</f>
        <v>127</v>
      </c>
      <c r="I118"/>
      <c r="L118">
        <f>20.4+96.9-0.2-0.7</f>
        <v>116.4</v>
      </c>
    </row>
    <row r="119" spans="1:9" ht="13.5" hidden="1" thickBot="1">
      <c r="A119" s="69" t="s">
        <v>25</v>
      </c>
      <c r="B119" s="70" t="s">
        <v>26</v>
      </c>
      <c r="C119" s="71">
        <v>966</v>
      </c>
      <c r="D119" s="72" t="s">
        <v>85</v>
      </c>
      <c r="E119" s="72"/>
      <c r="F119" s="71"/>
      <c r="G119" s="71"/>
      <c r="H119" s="73">
        <f>H120</f>
        <v>2.3092638912203256E-14</v>
      </c>
      <c r="I119"/>
    </row>
    <row r="120" spans="1:9" ht="13.5" hidden="1" thickBot="1">
      <c r="A120" s="40" t="s">
        <v>94</v>
      </c>
      <c r="B120" s="74" t="s">
        <v>27</v>
      </c>
      <c r="C120" s="42">
        <v>966</v>
      </c>
      <c r="D120" s="43" t="s">
        <v>85</v>
      </c>
      <c r="E120" s="43" t="s">
        <v>173</v>
      </c>
      <c r="F120" s="42"/>
      <c r="G120" s="42"/>
      <c r="H120" s="62">
        <f>H121</f>
        <v>2.3092638912203256E-14</v>
      </c>
      <c r="I120"/>
    </row>
    <row r="121" spans="1:9" ht="12.75" hidden="1">
      <c r="A121" s="16" t="s">
        <v>28</v>
      </c>
      <c r="B121" s="34" t="s">
        <v>109</v>
      </c>
      <c r="C121" s="22">
        <v>966</v>
      </c>
      <c r="D121" s="16" t="s">
        <v>85</v>
      </c>
      <c r="E121" s="57" t="s">
        <v>173</v>
      </c>
      <c r="F121" s="22">
        <v>800</v>
      </c>
      <c r="G121" s="22"/>
      <c r="H121" s="25">
        <f>H122</f>
        <v>2.3092638912203256E-14</v>
      </c>
      <c r="I121"/>
    </row>
    <row r="122" spans="1:9" ht="12.75" hidden="1">
      <c r="A122" s="17"/>
      <c r="B122" s="5" t="s">
        <v>29</v>
      </c>
      <c r="C122" s="23">
        <v>966</v>
      </c>
      <c r="D122" s="17" t="s">
        <v>85</v>
      </c>
      <c r="E122" s="1" t="s">
        <v>173</v>
      </c>
      <c r="F122" s="23">
        <v>870</v>
      </c>
      <c r="G122" s="23"/>
      <c r="H122" s="26">
        <f>H123</f>
        <v>2.3092638912203256E-14</v>
      </c>
      <c r="I122"/>
    </row>
    <row r="123" spans="1:13" ht="13.5" hidden="1" thickBot="1">
      <c r="A123" s="110"/>
      <c r="B123" s="113" t="s">
        <v>203</v>
      </c>
      <c r="C123" s="27">
        <v>966</v>
      </c>
      <c r="D123" s="17" t="s">
        <v>85</v>
      </c>
      <c r="E123" s="104" t="s">
        <v>173</v>
      </c>
      <c r="F123" s="23">
        <v>870</v>
      </c>
      <c r="G123" s="45">
        <v>290</v>
      </c>
      <c r="H123" s="111">
        <f>100+190-277.4-12.6</f>
        <v>2.3092638912203256E-14</v>
      </c>
      <c r="I123"/>
      <c r="M123">
        <v>-12.6</v>
      </c>
    </row>
    <row r="124" spans="1:9" ht="13.5" thickBot="1">
      <c r="A124" s="69" t="s">
        <v>30</v>
      </c>
      <c r="B124" s="70" t="s">
        <v>13</v>
      </c>
      <c r="C124" s="71">
        <v>966</v>
      </c>
      <c r="D124" s="72" t="s">
        <v>83</v>
      </c>
      <c r="E124" s="72"/>
      <c r="F124" s="71"/>
      <c r="G124" s="71"/>
      <c r="H124" s="73">
        <f>H125+H130+H136+H141+H148+H155+H162+H168+H173+H178</f>
        <v>2632.5</v>
      </c>
      <c r="I124"/>
    </row>
    <row r="125" spans="1:9" ht="45.75" hidden="1" thickBot="1">
      <c r="A125" s="40" t="s">
        <v>31</v>
      </c>
      <c r="B125" s="41" t="s">
        <v>115</v>
      </c>
      <c r="C125" s="42">
        <v>966</v>
      </c>
      <c r="D125" s="43" t="s">
        <v>83</v>
      </c>
      <c r="E125" s="43" t="s">
        <v>174</v>
      </c>
      <c r="F125" s="42"/>
      <c r="G125" s="42"/>
      <c r="H125" s="62">
        <f>H126</f>
        <v>0</v>
      </c>
      <c r="I125"/>
    </row>
    <row r="126" spans="1:9" ht="22.5" hidden="1">
      <c r="A126" s="16" t="s">
        <v>32</v>
      </c>
      <c r="B126" s="33" t="s">
        <v>24</v>
      </c>
      <c r="C126" s="22">
        <v>966</v>
      </c>
      <c r="D126" s="16" t="s">
        <v>83</v>
      </c>
      <c r="E126" s="57" t="s">
        <v>174</v>
      </c>
      <c r="F126" s="22">
        <v>200</v>
      </c>
      <c r="G126" s="22"/>
      <c r="H126" s="25">
        <f>H127</f>
        <v>0</v>
      </c>
      <c r="I126"/>
    </row>
    <row r="127" spans="1:9" ht="22.5" hidden="1">
      <c r="A127" s="16"/>
      <c r="B127" s="5" t="s">
        <v>108</v>
      </c>
      <c r="C127" s="22">
        <v>966</v>
      </c>
      <c r="D127" s="16" t="s">
        <v>83</v>
      </c>
      <c r="E127" s="1" t="s">
        <v>174</v>
      </c>
      <c r="F127" s="22">
        <v>240</v>
      </c>
      <c r="G127" s="22"/>
      <c r="H127" s="25">
        <f>H128</f>
        <v>0</v>
      </c>
      <c r="I127"/>
    </row>
    <row r="128" spans="1:9" ht="22.5" hidden="1">
      <c r="A128" s="16"/>
      <c r="B128" s="35" t="s">
        <v>199</v>
      </c>
      <c r="C128" s="22">
        <v>966</v>
      </c>
      <c r="D128" s="16" t="s">
        <v>83</v>
      </c>
      <c r="E128" s="1" t="s">
        <v>174</v>
      </c>
      <c r="F128" s="22">
        <v>244</v>
      </c>
      <c r="G128" s="22"/>
      <c r="H128" s="25">
        <f>H129</f>
        <v>0</v>
      </c>
      <c r="I128"/>
    </row>
    <row r="129" spans="1:10" ht="13.5" hidden="1" thickBot="1">
      <c r="A129" s="46"/>
      <c r="B129" s="5" t="s">
        <v>208</v>
      </c>
      <c r="C129" s="45">
        <v>966</v>
      </c>
      <c r="D129" s="46" t="s">
        <v>83</v>
      </c>
      <c r="E129" s="58" t="s">
        <v>174</v>
      </c>
      <c r="F129" s="45">
        <v>244</v>
      </c>
      <c r="G129" s="45">
        <v>226</v>
      </c>
      <c r="H129" s="51">
        <f>100-100</f>
        <v>0</v>
      </c>
      <c r="I129"/>
      <c r="J129">
        <v>1</v>
      </c>
    </row>
    <row r="130" spans="1:9" ht="57" thickBot="1">
      <c r="A130" s="40" t="s">
        <v>31</v>
      </c>
      <c r="B130" s="41" t="s">
        <v>121</v>
      </c>
      <c r="C130" s="42">
        <v>966</v>
      </c>
      <c r="D130" s="43" t="s">
        <v>83</v>
      </c>
      <c r="E130" s="43" t="s">
        <v>175</v>
      </c>
      <c r="F130" s="42"/>
      <c r="G130" s="42"/>
      <c r="H130" s="181">
        <f>H131</f>
        <v>4.7</v>
      </c>
      <c r="I130"/>
    </row>
    <row r="131" spans="1:9" ht="22.5">
      <c r="A131" s="16" t="s">
        <v>32</v>
      </c>
      <c r="B131" s="47" t="s">
        <v>24</v>
      </c>
      <c r="C131" s="29">
        <v>966</v>
      </c>
      <c r="D131" s="9" t="s">
        <v>83</v>
      </c>
      <c r="E131" s="58" t="s">
        <v>175</v>
      </c>
      <c r="F131" s="29">
        <v>200</v>
      </c>
      <c r="G131" s="29"/>
      <c r="H131" s="25">
        <f>H132</f>
        <v>4.7</v>
      </c>
      <c r="I131"/>
    </row>
    <row r="132" spans="1:9" ht="23.25" thickBot="1">
      <c r="A132" s="16"/>
      <c r="B132" s="5" t="s">
        <v>108</v>
      </c>
      <c r="C132" s="29">
        <v>966</v>
      </c>
      <c r="D132" s="9" t="s">
        <v>83</v>
      </c>
      <c r="E132" s="1" t="s">
        <v>175</v>
      </c>
      <c r="F132" s="29">
        <v>240</v>
      </c>
      <c r="G132" s="29"/>
      <c r="H132" s="25">
        <f>H133</f>
        <v>4.7</v>
      </c>
      <c r="I132"/>
    </row>
    <row r="133" spans="1:9" ht="22.5" hidden="1">
      <c r="A133" s="16"/>
      <c r="B133" s="35" t="s">
        <v>199</v>
      </c>
      <c r="C133" s="29">
        <v>966</v>
      </c>
      <c r="D133" s="9" t="s">
        <v>83</v>
      </c>
      <c r="E133" s="1" t="s">
        <v>175</v>
      </c>
      <c r="F133" s="29">
        <v>244</v>
      </c>
      <c r="G133" s="29"/>
      <c r="H133" s="25">
        <f>H135+H134</f>
        <v>4.7</v>
      </c>
      <c r="I133"/>
    </row>
    <row r="134" spans="1:12" ht="13.5" hidden="1" thickBot="1">
      <c r="A134" s="106"/>
      <c r="B134" s="141" t="s">
        <v>208</v>
      </c>
      <c r="C134" s="29">
        <v>966</v>
      </c>
      <c r="D134" s="9" t="s">
        <v>83</v>
      </c>
      <c r="E134" s="104" t="s">
        <v>175</v>
      </c>
      <c r="F134" s="29">
        <v>244</v>
      </c>
      <c r="G134" s="27">
        <v>226</v>
      </c>
      <c r="H134" s="26">
        <f>100-100</f>
        <v>0</v>
      </c>
      <c r="I134"/>
      <c r="L134">
        <v>-100</v>
      </c>
    </row>
    <row r="135" spans="1:9" ht="13.5" hidden="1" thickBot="1">
      <c r="A135" s="16"/>
      <c r="B135" s="4" t="s">
        <v>217</v>
      </c>
      <c r="C135" s="29">
        <v>966</v>
      </c>
      <c r="D135" s="9" t="s">
        <v>83</v>
      </c>
      <c r="E135" s="104" t="s">
        <v>175</v>
      </c>
      <c r="F135" s="29">
        <v>244</v>
      </c>
      <c r="G135" s="29">
        <v>340</v>
      </c>
      <c r="H135" s="25">
        <f>6-1.3</f>
        <v>4.7</v>
      </c>
      <c r="I135"/>
    </row>
    <row r="136" spans="1:9" ht="45.75" thickBot="1">
      <c r="A136" s="40" t="s">
        <v>33</v>
      </c>
      <c r="B136" s="41" t="s">
        <v>120</v>
      </c>
      <c r="C136" s="42">
        <v>966</v>
      </c>
      <c r="D136" s="43" t="s">
        <v>83</v>
      </c>
      <c r="E136" s="43" t="s">
        <v>176</v>
      </c>
      <c r="F136" s="42"/>
      <c r="G136" s="42"/>
      <c r="H136" s="181">
        <f>H137</f>
        <v>90</v>
      </c>
      <c r="I136"/>
    </row>
    <row r="137" spans="1:9" ht="22.5">
      <c r="A137" s="16" t="s">
        <v>34</v>
      </c>
      <c r="B137" s="33" t="s">
        <v>24</v>
      </c>
      <c r="C137" s="22">
        <v>966</v>
      </c>
      <c r="D137" s="16" t="s">
        <v>83</v>
      </c>
      <c r="E137" s="9" t="s">
        <v>176</v>
      </c>
      <c r="F137" s="22">
        <v>200</v>
      </c>
      <c r="G137" s="22"/>
      <c r="H137" s="25">
        <f>H138</f>
        <v>90</v>
      </c>
      <c r="I137"/>
    </row>
    <row r="138" spans="1:9" ht="23.25" thickBot="1">
      <c r="A138" s="16"/>
      <c r="B138" s="5" t="s">
        <v>108</v>
      </c>
      <c r="C138" s="22">
        <v>966</v>
      </c>
      <c r="D138" s="16" t="s">
        <v>83</v>
      </c>
      <c r="E138" s="9" t="s">
        <v>176</v>
      </c>
      <c r="F138" s="22">
        <v>240</v>
      </c>
      <c r="G138" s="22"/>
      <c r="H138" s="25">
        <f>H139</f>
        <v>90</v>
      </c>
      <c r="I138"/>
    </row>
    <row r="139" spans="1:9" ht="22.5" hidden="1">
      <c r="A139" s="16"/>
      <c r="B139" s="5" t="s">
        <v>199</v>
      </c>
      <c r="C139" s="29">
        <v>966</v>
      </c>
      <c r="D139" s="9" t="s">
        <v>83</v>
      </c>
      <c r="E139" s="9" t="s">
        <v>176</v>
      </c>
      <c r="F139" s="29">
        <v>244</v>
      </c>
      <c r="G139" s="119"/>
      <c r="H139" s="25">
        <f>H140</f>
        <v>90</v>
      </c>
      <c r="I139"/>
    </row>
    <row r="140" spans="1:12" ht="13.5" hidden="1" thickBot="1">
      <c r="A140" s="16"/>
      <c r="B140" s="5" t="s">
        <v>203</v>
      </c>
      <c r="C140" s="22">
        <v>966</v>
      </c>
      <c r="D140" s="16" t="s">
        <v>83</v>
      </c>
      <c r="E140" s="9" t="s">
        <v>176</v>
      </c>
      <c r="F140" s="22">
        <v>244</v>
      </c>
      <c r="G140" s="22">
        <v>290</v>
      </c>
      <c r="H140" s="25">
        <f>140+378.5-500+71.5</f>
        <v>90</v>
      </c>
      <c r="I140"/>
      <c r="L140">
        <v>71.5</v>
      </c>
    </row>
    <row r="141" spans="1:9" ht="23.25" thickBot="1">
      <c r="A141" s="40" t="s">
        <v>35</v>
      </c>
      <c r="B141" s="41" t="s">
        <v>114</v>
      </c>
      <c r="C141" s="42">
        <v>966</v>
      </c>
      <c r="D141" s="43" t="s">
        <v>83</v>
      </c>
      <c r="E141" s="43" t="s">
        <v>192</v>
      </c>
      <c r="F141" s="42"/>
      <c r="G141" s="42"/>
      <c r="H141" s="181">
        <f>H142</f>
        <v>651.8</v>
      </c>
      <c r="I141"/>
    </row>
    <row r="142" spans="1:9" ht="22.5">
      <c r="A142" s="16" t="s">
        <v>36</v>
      </c>
      <c r="B142" s="33" t="s">
        <v>24</v>
      </c>
      <c r="C142" s="22">
        <v>966</v>
      </c>
      <c r="D142" s="16" t="s">
        <v>83</v>
      </c>
      <c r="E142" s="9" t="s">
        <v>192</v>
      </c>
      <c r="F142" s="22">
        <v>200</v>
      </c>
      <c r="G142" s="22"/>
      <c r="H142" s="25">
        <f>H143</f>
        <v>651.8</v>
      </c>
      <c r="I142"/>
    </row>
    <row r="143" spans="1:9" ht="23.25" thickBot="1">
      <c r="A143" s="16"/>
      <c r="B143" s="5" t="s">
        <v>108</v>
      </c>
      <c r="C143" s="22">
        <v>966</v>
      </c>
      <c r="D143" s="16" t="s">
        <v>83</v>
      </c>
      <c r="E143" s="9" t="s">
        <v>192</v>
      </c>
      <c r="F143" s="22">
        <v>240</v>
      </c>
      <c r="G143" s="22"/>
      <c r="H143" s="25">
        <f>H144</f>
        <v>651.8</v>
      </c>
      <c r="I143"/>
    </row>
    <row r="144" spans="1:9" ht="22.5" hidden="1">
      <c r="A144" s="16"/>
      <c r="B144" s="5" t="s">
        <v>199</v>
      </c>
      <c r="C144" s="22">
        <v>966</v>
      </c>
      <c r="D144" s="16" t="s">
        <v>83</v>
      </c>
      <c r="E144" s="9" t="s">
        <v>192</v>
      </c>
      <c r="F144" s="22">
        <v>244</v>
      </c>
      <c r="G144" s="22"/>
      <c r="H144" s="25">
        <f>H145+H147+H146</f>
        <v>651.8</v>
      </c>
      <c r="I144"/>
    </row>
    <row r="145" spans="1:11" ht="12.75" hidden="1">
      <c r="A145" s="16"/>
      <c r="B145" s="5" t="s">
        <v>208</v>
      </c>
      <c r="C145" s="22">
        <v>966</v>
      </c>
      <c r="D145" s="16" t="s">
        <v>83</v>
      </c>
      <c r="E145" s="9" t="s">
        <v>192</v>
      </c>
      <c r="F145" s="22">
        <v>244</v>
      </c>
      <c r="G145" s="22">
        <v>226</v>
      </c>
      <c r="H145" s="25">
        <f>270-270</f>
        <v>0</v>
      </c>
      <c r="I145"/>
      <c r="K145">
        <v>33</v>
      </c>
    </row>
    <row r="146" spans="1:11" ht="12.75" hidden="1">
      <c r="A146" s="16"/>
      <c r="B146" s="5" t="s">
        <v>218</v>
      </c>
      <c r="C146" s="22">
        <v>966</v>
      </c>
      <c r="D146" s="16" t="s">
        <v>83</v>
      </c>
      <c r="E146" s="9" t="s">
        <v>192</v>
      </c>
      <c r="F146" s="22">
        <v>244</v>
      </c>
      <c r="G146" s="22">
        <v>310</v>
      </c>
      <c r="H146" s="25">
        <f>647-348</f>
        <v>299</v>
      </c>
      <c r="I146"/>
      <c r="K146">
        <v>33</v>
      </c>
    </row>
    <row r="147" spans="1:11" ht="13.5" hidden="1" thickBot="1">
      <c r="A147" s="110"/>
      <c r="B147" s="103" t="s">
        <v>217</v>
      </c>
      <c r="C147" s="22">
        <v>966</v>
      </c>
      <c r="D147" s="16" t="s">
        <v>83</v>
      </c>
      <c r="E147" s="9" t="s">
        <v>192</v>
      </c>
      <c r="F147" s="45">
        <v>244</v>
      </c>
      <c r="G147" s="45">
        <v>340</v>
      </c>
      <c r="H147" s="111">
        <f>353-0.2</f>
        <v>352.8</v>
      </c>
      <c r="I147"/>
      <c r="J147">
        <v>1</v>
      </c>
      <c r="K147">
        <v>33</v>
      </c>
    </row>
    <row r="148" spans="1:9" ht="68.25" thickBot="1">
      <c r="A148" s="40" t="s">
        <v>37</v>
      </c>
      <c r="B148" s="41" t="s">
        <v>119</v>
      </c>
      <c r="C148" s="42">
        <v>966</v>
      </c>
      <c r="D148" s="43" t="s">
        <v>83</v>
      </c>
      <c r="E148" s="43" t="s">
        <v>177</v>
      </c>
      <c r="F148" s="42"/>
      <c r="G148" s="42"/>
      <c r="H148" s="181">
        <f>H149</f>
        <v>94.3</v>
      </c>
      <c r="I148"/>
    </row>
    <row r="149" spans="1:9" ht="22.5">
      <c r="A149" s="16" t="s">
        <v>38</v>
      </c>
      <c r="B149" s="33" t="s">
        <v>24</v>
      </c>
      <c r="C149" s="22">
        <v>966</v>
      </c>
      <c r="D149" s="16" t="s">
        <v>83</v>
      </c>
      <c r="E149" s="9" t="s">
        <v>177</v>
      </c>
      <c r="F149" s="22">
        <v>200</v>
      </c>
      <c r="G149" s="22"/>
      <c r="H149" s="25">
        <f>H150</f>
        <v>94.3</v>
      </c>
      <c r="I149"/>
    </row>
    <row r="150" spans="1:9" ht="23.25" thickBot="1">
      <c r="A150" s="16"/>
      <c r="B150" s="5" t="s">
        <v>108</v>
      </c>
      <c r="C150" s="22">
        <v>966</v>
      </c>
      <c r="D150" s="16" t="s">
        <v>83</v>
      </c>
      <c r="E150" s="9" t="s">
        <v>177</v>
      </c>
      <c r="F150" s="22">
        <v>240</v>
      </c>
      <c r="G150" s="22"/>
      <c r="H150" s="26">
        <f>H151</f>
        <v>94.3</v>
      </c>
      <c r="I150"/>
    </row>
    <row r="151" spans="1:9" ht="22.5" hidden="1">
      <c r="A151" s="16"/>
      <c r="B151" s="35" t="s">
        <v>199</v>
      </c>
      <c r="C151" s="22">
        <v>966</v>
      </c>
      <c r="D151" s="16" t="s">
        <v>83</v>
      </c>
      <c r="E151" s="9" t="s">
        <v>177</v>
      </c>
      <c r="F151" s="22">
        <v>244</v>
      </c>
      <c r="G151" s="22"/>
      <c r="H151" s="26">
        <f>H154+H153</f>
        <v>94.3</v>
      </c>
      <c r="I151"/>
    </row>
    <row r="152" spans="1:12" ht="12.75" hidden="1">
      <c r="A152" s="116"/>
      <c r="B152" s="141" t="s">
        <v>208</v>
      </c>
      <c r="C152" s="115">
        <v>966</v>
      </c>
      <c r="D152" s="116" t="s">
        <v>83</v>
      </c>
      <c r="E152" s="9" t="s">
        <v>177</v>
      </c>
      <c r="F152" s="115">
        <v>244</v>
      </c>
      <c r="G152" s="115">
        <v>226</v>
      </c>
      <c r="H152" s="25">
        <f>100-100</f>
        <v>0</v>
      </c>
      <c r="I152"/>
      <c r="L152">
        <v>-100</v>
      </c>
    </row>
    <row r="153" spans="1:12" ht="12.75" hidden="1">
      <c r="A153" s="116"/>
      <c r="B153" s="141" t="s">
        <v>203</v>
      </c>
      <c r="C153" s="115">
        <v>966</v>
      </c>
      <c r="D153" s="116" t="s">
        <v>83</v>
      </c>
      <c r="E153" s="9" t="s">
        <v>177</v>
      </c>
      <c r="F153" s="115">
        <v>244</v>
      </c>
      <c r="G153" s="115">
        <v>290</v>
      </c>
      <c r="H153" s="25">
        <f>100-10</f>
        <v>90</v>
      </c>
      <c r="I153"/>
      <c r="L153">
        <v>90</v>
      </c>
    </row>
    <row r="154" spans="1:10" ht="13.5" hidden="1" thickBot="1">
      <c r="A154" s="16"/>
      <c r="B154" s="5" t="s">
        <v>217</v>
      </c>
      <c r="C154" s="22">
        <v>966</v>
      </c>
      <c r="D154" s="16" t="s">
        <v>83</v>
      </c>
      <c r="E154" s="9" t="s">
        <v>177</v>
      </c>
      <c r="F154" s="22">
        <v>244</v>
      </c>
      <c r="G154" s="22">
        <v>340</v>
      </c>
      <c r="H154" s="25">
        <f>5.5-1.2</f>
        <v>4.3</v>
      </c>
      <c r="I154"/>
      <c r="J154">
        <v>1</v>
      </c>
    </row>
    <row r="155" spans="1:9" ht="34.5" thickBot="1">
      <c r="A155" s="40" t="s">
        <v>39</v>
      </c>
      <c r="B155" s="41" t="s">
        <v>118</v>
      </c>
      <c r="C155" s="42">
        <v>966</v>
      </c>
      <c r="D155" s="43" t="s">
        <v>83</v>
      </c>
      <c r="E155" s="43" t="s">
        <v>230</v>
      </c>
      <c r="F155" s="42"/>
      <c r="G155" s="42"/>
      <c r="H155" s="181">
        <f>H156</f>
        <v>94.2</v>
      </c>
      <c r="I155"/>
    </row>
    <row r="156" spans="1:9" ht="22.5">
      <c r="A156" s="16" t="s">
        <v>421</v>
      </c>
      <c r="B156" s="33" t="s">
        <v>24</v>
      </c>
      <c r="C156" s="22">
        <v>966</v>
      </c>
      <c r="D156" s="16" t="s">
        <v>83</v>
      </c>
      <c r="E156" s="9" t="s">
        <v>230</v>
      </c>
      <c r="F156" s="22">
        <v>200</v>
      </c>
      <c r="G156" s="22"/>
      <c r="H156" s="25">
        <f>H157</f>
        <v>94.2</v>
      </c>
      <c r="I156"/>
    </row>
    <row r="157" spans="1:9" ht="23.25" thickBot="1">
      <c r="A157" s="16"/>
      <c r="B157" s="5" t="s">
        <v>108</v>
      </c>
      <c r="C157" s="22">
        <v>966</v>
      </c>
      <c r="D157" s="16" t="s">
        <v>83</v>
      </c>
      <c r="E157" s="9" t="s">
        <v>230</v>
      </c>
      <c r="F157" s="22">
        <v>240</v>
      </c>
      <c r="G157" s="22"/>
      <c r="H157" s="26">
        <f>H158</f>
        <v>94.2</v>
      </c>
      <c r="I157"/>
    </row>
    <row r="158" spans="1:9" ht="22.5" hidden="1">
      <c r="A158" s="16"/>
      <c r="B158" s="35" t="s">
        <v>199</v>
      </c>
      <c r="C158" s="22">
        <v>966</v>
      </c>
      <c r="D158" s="16" t="s">
        <v>83</v>
      </c>
      <c r="E158" s="9" t="s">
        <v>230</v>
      </c>
      <c r="F158" s="22">
        <v>244</v>
      </c>
      <c r="G158" s="22"/>
      <c r="H158" s="26">
        <f>SUM(H160:H161)</f>
        <v>94.2</v>
      </c>
      <c r="I158"/>
    </row>
    <row r="159" spans="1:10" ht="12.75" hidden="1">
      <c r="A159" s="16"/>
      <c r="B159" s="5" t="s">
        <v>208</v>
      </c>
      <c r="C159" s="22">
        <v>966</v>
      </c>
      <c r="D159" s="16" t="s">
        <v>83</v>
      </c>
      <c r="E159" s="9" t="s">
        <v>230</v>
      </c>
      <c r="F159" s="22">
        <v>244</v>
      </c>
      <c r="G159" s="22">
        <v>226</v>
      </c>
      <c r="H159" s="25">
        <f>90-90</f>
        <v>0</v>
      </c>
      <c r="I159"/>
      <c r="J159">
        <v>1</v>
      </c>
    </row>
    <row r="160" spans="1:12" ht="12.75" hidden="1">
      <c r="A160" s="16"/>
      <c r="B160" s="5" t="s">
        <v>203</v>
      </c>
      <c r="C160" s="22">
        <v>966</v>
      </c>
      <c r="D160" s="16" t="s">
        <v>83</v>
      </c>
      <c r="E160" s="9" t="s">
        <v>230</v>
      </c>
      <c r="F160" s="22">
        <v>244</v>
      </c>
      <c r="G160" s="22">
        <v>290</v>
      </c>
      <c r="H160" s="25">
        <v>90</v>
      </c>
      <c r="I160"/>
      <c r="J160">
        <v>1</v>
      </c>
      <c r="L160">
        <v>90</v>
      </c>
    </row>
    <row r="161" spans="1:10" ht="13.5" hidden="1" thickBot="1">
      <c r="A161" s="16"/>
      <c r="B161" s="5" t="s">
        <v>217</v>
      </c>
      <c r="C161" s="22">
        <v>966</v>
      </c>
      <c r="D161" s="16" t="s">
        <v>83</v>
      </c>
      <c r="E161" s="9" t="s">
        <v>230</v>
      </c>
      <c r="F161" s="22">
        <v>244</v>
      </c>
      <c r="G161" s="22">
        <v>340</v>
      </c>
      <c r="H161" s="25">
        <f>5.5-1.3</f>
        <v>4.2</v>
      </c>
      <c r="I161"/>
      <c r="J161">
        <v>1</v>
      </c>
    </row>
    <row r="162" spans="1:9" ht="68.25" thickBot="1">
      <c r="A162" s="40" t="s">
        <v>40</v>
      </c>
      <c r="B162" s="41" t="s">
        <v>117</v>
      </c>
      <c r="C162" s="42">
        <v>966</v>
      </c>
      <c r="D162" s="43" t="s">
        <v>83</v>
      </c>
      <c r="E162" s="43" t="s">
        <v>178</v>
      </c>
      <c r="F162" s="42"/>
      <c r="G162" s="42"/>
      <c r="H162" s="181">
        <f>H163</f>
        <v>94.2</v>
      </c>
      <c r="I162"/>
    </row>
    <row r="163" spans="1:9" ht="22.5">
      <c r="A163" s="16" t="s">
        <v>98</v>
      </c>
      <c r="B163" s="114" t="s">
        <v>24</v>
      </c>
      <c r="C163" s="22">
        <v>966</v>
      </c>
      <c r="D163" s="16" t="s">
        <v>83</v>
      </c>
      <c r="E163" s="9" t="s">
        <v>178</v>
      </c>
      <c r="F163" s="22">
        <v>200</v>
      </c>
      <c r="G163" s="22"/>
      <c r="H163" s="25">
        <f>H164</f>
        <v>94.2</v>
      </c>
      <c r="I163"/>
    </row>
    <row r="164" spans="1:9" ht="23.25" thickBot="1">
      <c r="A164" s="17"/>
      <c r="B164" s="5" t="s">
        <v>108</v>
      </c>
      <c r="C164" s="23">
        <v>966</v>
      </c>
      <c r="D164" s="17" t="s">
        <v>83</v>
      </c>
      <c r="E164" s="1" t="s">
        <v>178</v>
      </c>
      <c r="F164" s="23">
        <v>240</v>
      </c>
      <c r="G164" s="23"/>
      <c r="H164" s="26">
        <f>H165</f>
        <v>94.2</v>
      </c>
      <c r="I164"/>
    </row>
    <row r="165" spans="1:9" ht="22.5" hidden="1">
      <c r="A165" s="17"/>
      <c r="B165" s="35" t="s">
        <v>199</v>
      </c>
      <c r="C165" s="23">
        <v>966</v>
      </c>
      <c r="D165" s="17" t="s">
        <v>83</v>
      </c>
      <c r="E165" s="1" t="s">
        <v>178</v>
      </c>
      <c r="F165" s="23">
        <v>244</v>
      </c>
      <c r="G165" s="23"/>
      <c r="H165" s="26">
        <f>H167+H166</f>
        <v>94.2</v>
      </c>
      <c r="I165"/>
    </row>
    <row r="166" spans="1:12" ht="12.75" hidden="1">
      <c r="A166" s="116"/>
      <c r="B166" s="141" t="s">
        <v>203</v>
      </c>
      <c r="C166" s="107">
        <v>966</v>
      </c>
      <c r="D166" s="106" t="s">
        <v>83</v>
      </c>
      <c r="E166" s="1" t="s">
        <v>178</v>
      </c>
      <c r="F166" s="107">
        <v>244</v>
      </c>
      <c r="G166" s="115">
        <v>290</v>
      </c>
      <c r="H166" s="25">
        <f>100-10</f>
        <v>90</v>
      </c>
      <c r="I166"/>
      <c r="L166">
        <v>-10</v>
      </c>
    </row>
    <row r="167" spans="1:12" ht="13.5" hidden="1" thickBot="1">
      <c r="A167" s="16"/>
      <c r="B167" s="5" t="s">
        <v>217</v>
      </c>
      <c r="C167" s="22">
        <v>966</v>
      </c>
      <c r="D167" s="16" t="s">
        <v>83</v>
      </c>
      <c r="E167" s="9" t="s">
        <v>178</v>
      </c>
      <c r="F167" s="22">
        <v>244</v>
      </c>
      <c r="G167" s="22">
        <v>340</v>
      </c>
      <c r="H167" s="25">
        <f>5.5-1.2-0.1</f>
        <v>4.2</v>
      </c>
      <c r="I167"/>
      <c r="J167">
        <v>1</v>
      </c>
      <c r="L167">
        <v>-0.1</v>
      </c>
    </row>
    <row r="168" spans="1:9" ht="23.25" thickBot="1">
      <c r="A168" s="40" t="s">
        <v>41</v>
      </c>
      <c r="B168" s="41" t="s">
        <v>116</v>
      </c>
      <c r="C168" s="42">
        <v>966</v>
      </c>
      <c r="D168" s="43" t="s">
        <v>83</v>
      </c>
      <c r="E168" s="43" t="s">
        <v>179</v>
      </c>
      <c r="F168" s="42"/>
      <c r="G168" s="42"/>
      <c r="H168" s="181">
        <f>H169</f>
        <v>198</v>
      </c>
      <c r="I168"/>
    </row>
    <row r="169" spans="1:9" ht="22.5">
      <c r="A169" s="16" t="s">
        <v>42</v>
      </c>
      <c r="B169" s="33" t="s">
        <v>24</v>
      </c>
      <c r="C169" s="22">
        <v>966</v>
      </c>
      <c r="D169" s="16" t="s">
        <v>83</v>
      </c>
      <c r="E169" s="9" t="s">
        <v>179</v>
      </c>
      <c r="F169" s="22">
        <v>200</v>
      </c>
      <c r="G169" s="22"/>
      <c r="H169" s="25">
        <f>H170</f>
        <v>198</v>
      </c>
      <c r="I169"/>
    </row>
    <row r="170" spans="1:9" ht="23.25" thickBot="1">
      <c r="A170" s="16"/>
      <c r="B170" s="5" t="s">
        <v>108</v>
      </c>
      <c r="C170" s="22">
        <v>966</v>
      </c>
      <c r="D170" s="16" t="s">
        <v>83</v>
      </c>
      <c r="E170" s="9" t="s">
        <v>179</v>
      </c>
      <c r="F170" s="22">
        <v>240</v>
      </c>
      <c r="G170" s="22"/>
      <c r="H170" s="25">
        <f>H171</f>
        <v>198</v>
      </c>
      <c r="I170"/>
    </row>
    <row r="171" spans="1:9" ht="22.5" hidden="1">
      <c r="A171" s="16"/>
      <c r="B171" s="35" t="s">
        <v>199</v>
      </c>
      <c r="C171" s="22">
        <v>966</v>
      </c>
      <c r="D171" s="16" t="s">
        <v>83</v>
      </c>
      <c r="E171" s="9" t="s">
        <v>179</v>
      </c>
      <c r="F171" s="22">
        <v>244</v>
      </c>
      <c r="G171" s="22"/>
      <c r="H171" s="25">
        <f>H172</f>
        <v>198</v>
      </c>
      <c r="I171"/>
    </row>
    <row r="172" spans="1:13" ht="13.5" hidden="1" thickBot="1">
      <c r="A172" s="16"/>
      <c r="B172" s="5" t="s">
        <v>208</v>
      </c>
      <c r="C172" s="22">
        <v>966</v>
      </c>
      <c r="D172" s="16" t="s">
        <v>83</v>
      </c>
      <c r="E172" s="9" t="s">
        <v>179</v>
      </c>
      <c r="F172" s="22">
        <v>244</v>
      </c>
      <c r="G172" s="22">
        <v>226</v>
      </c>
      <c r="H172" s="25">
        <f>220-22+10-10</f>
        <v>198</v>
      </c>
      <c r="I172"/>
      <c r="L172">
        <v>10</v>
      </c>
      <c r="M172">
        <v>-10</v>
      </c>
    </row>
    <row r="173" spans="1:9" ht="34.5" thickBot="1">
      <c r="A173" s="40" t="s">
        <v>101</v>
      </c>
      <c r="B173" s="41" t="s">
        <v>165</v>
      </c>
      <c r="C173" s="42">
        <v>966</v>
      </c>
      <c r="D173" s="43" t="s">
        <v>83</v>
      </c>
      <c r="E173" s="43" t="s">
        <v>180</v>
      </c>
      <c r="F173" s="42"/>
      <c r="G173" s="42"/>
      <c r="H173" s="62">
        <f>H174</f>
        <v>19.3</v>
      </c>
      <c r="I173"/>
    </row>
    <row r="174" spans="1:9" ht="22.5">
      <c r="A174" s="46" t="s">
        <v>422</v>
      </c>
      <c r="B174" s="44" t="s">
        <v>24</v>
      </c>
      <c r="C174" s="45">
        <v>966</v>
      </c>
      <c r="D174" s="46" t="s">
        <v>83</v>
      </c>
      <c r="E174" s="58" t="s">
        <v>180</v>
      </c>
      <c r="F174" s="45">
        <v>200</v>
      </c>
      <c r="G174" s="45"/>
      <c r="H174" s="51">
        <f>H175</f>
        <v>19.3</v>
      </c>
      <c r="I174"/>
    </row>
    <row r="175" spans="1:9" ht="23.25" thickBot="1">
      <c r="A175" s="106"/>
      <c r="B175" s="5" t="s">
        <v>108</v>
      </c>
      <c r="C175" s="107">
        <v>966</v>
      </c>
      <c r="D175" s="106" t="s">
        <v>83</v>
      </c>
      <c r="E175" s="1" t="s">
        <v>180</v>
      </c>
      <c r="F175" s="107">
        <v>240</v>
      </c>
      <c r="G175" s="107"/>
      <c r="H175" s="26">
        <f>H176</f>
        <v>19.3</v>
      </c>
      <c r="I175"/>
    </row>
    <row r="176" spans="1:9" ht="22.5" hidden="1">
      <c r="A176" s="106"/>
      <c r="B176" s="35" t="s">
        <v>199</v>
      </c>
      <c r="C176" s="107">
        <v>966</v>
      </c>
      <c r="D176" s="106" t="s">
        <v>83</v>
      </c>
      <c r="E176" s="1" t="s">
        <v>180</v>
      </c>
      <c r="F176" s="107">
        <v>244</v>
      </c>
      <c r="G176" s="107"/>
      <c r="H176" s="26">
        <f>H177</f>
        <v>19.3</v>
      </c>
      <c r="I176"/>
    </row>
    <row r="177" spans="1:10" ht="13.5" hidden="1" thickBot="1">
      <c r="A177" s="46"/>
      <c r="B177" s="6" t="s">
        <v>217</v>
      </c>
      <c r="C177" s="45">
        <v>966</v>
      </c>
      <c r="D177" s="46" t="s">
        <v>83</v>
      </c>
      <c r="E177" s="58" t="s">
        <v>180</v>
      </c>
      <c r="F177" s="45">
        <v>244</v>
      </c>
      <c r="G177" s="45">
        <v>340</v>
      </c>
      <c r="H177" s="51">
        <f>25-5.7</f>
        <v>19.3</v>
      </c>
      <c r="I177"/>
      <c r="J177">
        <v>1</v>
      </c>
    </row>
    <row r="178" spans="1:9" ht="23.25" thickBot="1">
      <c r="A178" s="40" t="s">
        <v>132</v>
      </c>
      <c r="B178" s="41" t="s">
        <v>260</v>
      </c>
      <c r="C178" s="42">
        <v>966</v>
      </c>
      <c r="D178" s="43" t="s">
        <v>83</v>
      </c>
      <c r="E178" s="43" t="s">
        <v>255</v>
      </c>
      <c r="F178" s="42"/>
      <c r="G178" s="159"/>
      <c r="H178" s="62">
        <f>H179</f>
        <v>1386</v>
      </c>
      <c r="I178"/>
    </row>
    <row r="179" spans="1:9" ht="56.25">
      <c r="A179" s="116" t="s">
        <v>423</v>
      </c>
      <c r="B179" s="135" t="s">
        <v>105</v>
      </c>
      <c r="C179" s="115">
        <v>966</v>
      </c>
      <c r="D179" s="116" t="s">
        <v>83</v>
      </c>
      <c r="E179" s="9" t="s">
        <v>255</v>
      </c>
      <c r="F179" s="115">
        <v>100</v>
      </c>
      <c r="G179" s="118"/>
      <c r="H179" s="25">
        <f>H180</f>
        <v>1386</v>
      </c>
      <c r="I179"/>
    </row>
    <row r="180" spans="1:9" ht="23.25" thickBot="1">
      <c r="A180" s="106"/>
      <c r="B180" s="141" t="s">
        <v>257</v>
      </c>
      <c r="C180" s="107">
        <v>966</v>
      </c>
      <c r="D180" s="106" t="s">
        <v>83</v>
      </c>
      <c r="E180" s="1" t="s">
        <v>255</v>
      </c>
      <c r="F180" s="107">
        <v>110</v>
      </c>
      <c r="G180" s="149"/>
      <c r="H180" s="26">
        <f>H181+H183</f>
        <v>1386</v>
      </c>
      <c r="I180"/>
    </row>
    <row r="181" spans="1:9" ht="22.5" hidden="1">
      <c r="A181" s="106"/>
      <c r="B181" s="141" t="s">
        <v>254</v>
      </c>
      <c r="C181" s="107">
        <v>966</v>
      </c>
      <c r="D181" s="106" t="s">
        <v>83</v>
      </c>
      <c r="E181" s="1" t="s">
        <v>255</v>
      </c>
      <c r="F181" s="107">
        <v>111</v>
      </c>
      <c r="G181" s="23"/>
      <c r="H181" s="26">
        <f>H182</f>
        <v>1062.2</v>
      </c>
      <c r="I181"/>
    </row>
    <row r="182" spans="1:12" ht="12.75" hidden="1">
      <c r="A182" s="106"/>
      <c r="B182" s="141" t="s">
        <v>206</v>
      </c>
      <c r="C182" s="107">
        <v>966</v>
      </c>
      <c r="D182" s="106" t="s">
        <v>83</v>
      </c>
      <c r="E182" s="1" t="s">
        <v>255</v>
      </c>
      <c r="F182" s="107">
        <v>111</v>
      </c>
      <c r="G182" s="23">
        <v>211</v>
      </c>
      <c r="H182" s="26">
        <f>1143.3-81.1</f>
        <v>1062.2</v>
      </c>
      <c r="I182"/>
      <c r="L182">
        <v>-81.1</v>
      </c>
    </row>
    <row r="183" spans="1:9" ht="45" hidden="1">
      <c r="A183" s="106"/>
      <c r="B183" s="141" t="s">
        <v>258</v>
      </c>
      <c r="C183" s="107">
        <v>966</v>
      </c>
      <c r="D183" s="106" t="s">
        <v>83</v>
      </c>
      <c r="E183" s="1" t="s">
        <v>255</v>
      </c>
      <c r="F183" s="107">
        <v>119</v>
      </c>
      <c r="G183" s="23"/>
      <c r="H183" s="26">
        <f>H184</f>
        <v>323.8</v>
      </c>
      <c r="I183"/>
    </row>
    <row r="184" spans="1:13" ht="13.5" hidden="1" thickBot="1">
      <c r="A184" s="48"/>
      <c r="B184" s="152" t="s">
        <v>207</v>
      </c>
      <c r="C184" s="49">
        <v>966</v>
      </c>
      <c r="D184" s="48" t="s">
        <v>83</v>
      </c>
      <c r="E184" s="59" t="s">
        <v>255</v>
      </c>
      <c r="F184" s="49">
        <v>119</v>
      </c>
      <c r="G184" s="24">
        <v>213</v>
      </c>
      <c r="H184" s="28">
        <f>343-49+29.8</f>
        <v>323.8</v>
      </c>
      <c r="I184"/>
      <c r="L184">
        <v>-49</v>
      </c>
      <c r="M184">
        <v>29.8</v>
      </c>
    </row>
    <row r="185" spans="1:9" ht="21.75" thickBot="1">
      <c r="A185" s="75" t="s">
        <v>43</v>
      </c>
      <c r="B185" s="76" t="s">
        <v>44</v>
      </c>
      <c r="C185" s="77">
        <v>966</v>
      </c>
      <c r="D185" s="78" t="s">
        <v>86</v>
      </c>
      <c r="E185" s="78"/>
      <c r="F185" s="77"/>
      <c r="G185" s="77"/>
      <c r="H185" s="79">
        <f>H186</f>
        <v>953.2</v>
      </c>
      <c r="I185"/>
    </row>
    <row r="186" spans="1:9" ht="34.5" thickBot="1">
      <c r="A186" s="69" t="s">
        <v>45</v>
      </c>
      <c r="B186" s="70" t="s">
        <v>46</v>
      </c>
      <c r="C186" s="71">
        <v>966</v>
      </c>
      <c r="D186" s="72" t="s">
        <v>87</v>
      </c>
      <c r="E186" s="72"/>
      <c r="F186" s="71"/>
      <c r="G186" s="71"/>
      <c r="H186" s="73">
        <f>H187+H193</f>
        <v>953.2</v>
      </c>
      <c r="I186"/>
    </row>
    <row r="187" spans="1:9" ht="90.75" thickBot="1">
      <c r="A187" s="40" t="s">
        <v>161</v>
      </c>
      <c r="B187" s="41" t="s">
        <v>162</v>
      </c>
      <c r="C187" s="42">
        <v>966</v>
      </c>
      <c r="D187" s="43" t="s">
        <v>87</v>
      </c>
      <c r="E187" s="43" t="s">
        <v>181</v>
      </c>
      <c r="F187" s="42"/>
      <c r="G187" s="42"/>
      <c r="H187" s="62">
        <f>H188</f>
        <v>10</v>
      </c>
      <c r="I187"/>
    </row>
    <row r="188" spans="1:9" ht="22.5">
      <c r="A188" s="16" t="s">
        <v>163</v>
      </c>
      <c r="B188" s="33" t="s">
        <v>24</v>
      </c>
      <c r="C188" s="22">
        <v>966</v>
      </c>
      <c r="D188" s="16" t="s">
        <v>87</v>
      </c>
      <c r="E188" s="9" t="s">
        <v>181</v>
      </c>
      <c r="F188" s="22">
        <v>200</v>
      </c>
      <c r="G188" s="22"/>
      <c r="H188" s="25">
        <f>H190</f>
        <v>10</v>
      </c>
      <c r="I188"/>
    </row>
    <row r="189" spans="1:9" ht="23.25" thickBot="1">
      <c r="A189" s="16"/>
      <c r="B189" s="5" t="s">
        <v>108</v>
      </c>
      <c r="C189" s="22">
        <v>966</v>
      </c>
      <c r="D189" s="16" t="s">
        <v>87</v>
      </c>
      <c r="E189" s="9" t="s">
        <v>181</v>
      </c>
      <c r="F189" s="22">
        <v>240</v>
      </c>
      <c r="G189" s="22"/>
      <c r="H189" s="25">
        <f>H190</f>
        <v>10</v>
      </c>
      <c r="I189"/>
    </row>
    <row r="190" spans="1:9" ht="22.5" hidden="1">
      <c r="A190" s="16"/>
      <c r="B190" s="35" t="s">
        <v>199</v>
      </c>
      <c r="C190" s="22">
        <v>966</v>
      </c>
      <c r="D190" s="16" t="s">
        <v>87</v>
      </c>
      <c r="E190" s="9" t="s">
        <v>181</v>
      </c>
      <c r="F190" s="22">
        <v>244</v>
      </c>
      <c r="G190" s="22"/>
      <c r="H190" s="25">
        <f>H191+H192</f>
        <v>10</v>
      </c>
      <c r="I190"/>
    </row>
    <row r="191" spans="1:13" ht="12.75" hidden="1">
      <c r="A191" s="16"/>
      <c r="B191" s="5" t="s">
        <v>208</v>
      </c>
      <c r="C191" s="22">
        <v>966</v>
      </c>
      <c r="D191" s="16" t="s">
        <v>87</v>
      </c>
      <c r="E191" s="9" t="s">
        <v>181</v>
      </c>
      <c r="F191" s="22">
        <v>244</v>
      </c>
      <c r="G191" s="22">
        <v>226</v>
      </c>
      <c r="H191" s="25">
        <f>80-40-40</f>
        <v>0</v>
      </c>
      <c r="I191"/>
      <c r="K191">
        <v>2</v>
      </c>
      <c r="M191">
        <v>-40</v>
      </c>
    </row>
    <row r="192" spans="1:13" ht="13.5" hidden="1" thickBot="1">
      <c r="A192" s="110"/>
      <c r="B192" s="103" t="s">
        <v>218</v>
      </c>
      <c r="C192" s="22">
        <v>966</v>
      </c>
      <c r="D192" s="16" t="s">
        <v>87</v>
      </c>
      <c r="E192" s="9" t="s">
        <v>181</v>
      </c>
      <c r="F192" s="22">
        <v>244</v>
      </c>
      <c r="G192" s="22">
        <v>310</v>
      </c>
      <c r="H192" s="154">
        <f>40-30</f>
        <v>10</v>
      </c>
      <c r="I192"/>
      <c r="K192">
        <v>2</v>
      </c>
      <c r="M192">
        <v>-30</v>
      </c>
    </row>
    <row r="193" spans="1:9" ht="57" thickBot="1">
      <c r="A193" s="40" t="s">
        <v>47</v>
      </c>
      <c r="B193" s="41" t="s">
        <v>112</v>
      </c>
      <c r="C193" s="42">
        <v>966</v>
      </c>
      <c r="D193" s="43" t="s">
        <v>87</v>
      </c>
      <c r="E193" s="43" t="s">
        <v>182</v>
      </c>
      <c r="F193" s="42"/>
      <c r="G193" s="42"/>
      <c r="H193" s="181">
        <f>H194</f>
        <v>943.2</v>
      </c>
      <c r="I193"/>
    </row>
    <row r="194" spans="1:9" ht="22.5">
      <c r="A194" s="16" t="s">
        <v>48</v>
      </c>
      <c r="B194" s="33" t="s">
        <v>24</v>
      </c>
      <c r="C194" s="22">
        <v>966</v>
      </c>
      <c r="D194" s="16" t="s">
        <v>87</v>
      </c>
      <c r="E194" s="9" t="s">
        <v>182</v>
      </c>
      <c r="F194" s="22">
        <v>200</v>
      </c>
      <c r="G194" s="22"/>
      <c r="H194" s="25">
        <f>H195</f>
        <v>943.2</v>
      </c>
      <c r="I194"/>
    </row>
    <row r="195" spans="1:9" ht="23.25" thickBot="1">
      <c r="A195" s="16"/>
      <c r="B195" s="5" t="s">
        <v>108</v>
      </c>
      <c r="C195" s="22">
        <v>966</v>
      </c>
      <c r="D195" s="16" t="s">
        <v>87</v>
      </c>
      <c r="E195" s="9" t="s">
        <v>182</v>
      </c>
      <c r="F195" s="22">
        <v>240</v>
      </c>
      <c r="G195" s="22"/>
      <c r="H195" s="25">
        <f>H196</f>
        <v>943.2</v>
      </c>
      <c r="I195"/>
    </row>
    <row r="196" spans="1:9" ht="22.5" hidden="1">
      <c r="A196" s="16"/>
      <c r="B196" s="35" t="s">
        <v>199</v>
      </c>
      <c r="C196" s="22">
        <v>966</v>
      </c>
      <c r="D196" s="16" t="s">
        <v>87</v>
      </c>
      <c r="E196" s="9" t="s">
        <v>182</v>
      </c>
      <c r="F196" s="22">
        <v>244</v>
      </c>
      <c r="G196" s="22"/>
      <c r="H196" s="25">
        <f>SUM(H197:H198)</f>
        <v>943.2</v>
      </c>
      <c r="I196"/>
    </row>
    <row r="197" spans="1:13" ht="12.75" hidden="1">
      <c r="A197" s="17"/>
      <c r="B197" s="5" t="s">
        <v>247</v>
      </c>
      <c r="C197" s="23">
        <v>966</v>
      </c>
      <c r="D197" s="17" t="s">
        <v>87</v>
      </c>
      <c r="E197" s="1" t="s">
        <v>182</v>
      </c>
      <c r="F197" s="23">
        <v>244</v>
      </c>
      <c r="G197" s="23">
        <v>224</v>
      </c>
      <c r="H197" s="26">
        <f>900-16.8</f>
        <v>883.2</v>
      </c>
      <c r="I197"/>
      <c r="M197">
        <v>-16.8</v>
      </c>
    </row>
    <row r="198" spans="1:12" ht="13.5" hidden="1" thickBot="1">
      <c r="A198" s="17"/>
      <c r="B198" s="5" t="s">
        <v>208</v>
      </c>
      <c r="C198" s="23">
        <v>966</v>
      </c>
      <c r="D198" s="17" t="s">
        <v>87</v>
      </c>
      <c r="E198" s="1" t="s">
        <v>182</v>
      </c>
      <c r="F198" s="23">
        <v>244</v>
      </c>
      <c r="G198" s="23">
        <v>226</v>
      </c>
      <c r="H198" s="26">
        <f>327.5-267.5</f>
        <v>60</v>
      </c>
      <c r="I198"/>
      <c r="L198">
        <v>-267.5</v>
      </c>
    </row>
    <row r="199" spans="1:9" ht="13.5" thickBot="1">
      <c r="A199" s="75" t="s">
        <v>133</v>
      </c>
      <c r="B199" s="76" t="s">
        <v>49</v>
      </c>
      <c r="C199" s="77">
        <v>966</v>
      </c>
      <c r="D199" s="78" t="s">
        <v>88</v>
      </c>
      <c r="E199" s="78"/>
      <c r="F199" s="77"/>
      <c r="G199" s="77"/>
      <c r="H199" s="79">
        <f>H200</f>
        <v>32999.9</v>
      </c>
      <c r="I199"/>
    </row>
    <row r="200" spans="1:9" ht="13.5" thickBot="1">
      <c r="A200" s="69" t="s">
        <v>135</v>
      </c>
      <c r="B200" s="70" t="s">
        <v>50</v>
      </c>
      <c r="C200" s="71">
        <v>966</v>
      </c>
      <c r="D200" s="72" t="s">
        <v>89</v>
      </c>
      <c r="E200" s="72"/>
      <c r="F200" s="71"/>
      <c r="G200" s="71"/>
      <c r="H200" s="73">
        <f>H201+H207+H214+H221+H228+H234+H239+H244+H264</f>
        <v>32999.9</v>
      </c>
      <c r="I200"/>
    </row>
    <row r="201" spans="1:9" ht="45.75" thickBot="1">
      <c r="A201" s="40" t="s">
        <v>136</v>
      </c>
      <c r="B201" s="41" t="s">
        <v>128</v>
      </c>
      <c r="C201" s="42">
        <v>966</v>
      </c>
      <c r="D201" s="43" t="s">
        <v>89</v>
      </c>
      <c r="E201" s="43" t="s">
        <v>183</v>
      </c>
      <c r="F201" s="42"/>
      <c r="G201" s="42"/>
      <c r="H201" s="181">
        <v>323</v>
      </c>
      <c r="I201"/>
    </row>
    <row r="202" spans="1:9" ht="22.5">
      <c r="A202" s="16" t="s">
        <v>137</v>
      </c>
      <c r="B202" s="160" t="s">
        <v>24</v>
      </c>
      <c r="C202" s="161">
        <v>966</v>
      </c>
      <c r="D202" s="162" t="s">
        <v>89</v>
      </c>
      <c r="E202" s="57" t="s">
        <v>183</v>
      </c>
      <c r="F202" s="161">
        <v>200</v>
      </c>
      <c r="G202" s="161"/>
      <c r="H202" s="163">
        <v>323</v>
      </c>
      <c r="I202"/>
    </row>
    <row r="203" spans="1:9" ht="21.75" customHeight="1" thickBot="1">
      <c r="A203" s="16"/>
      <c r="B203" s="5" t="s">
        <v>108</v>
      </c>
      <c r="C203" s="23">
        <v>966</v>
      </c>
      <c r="D203" s="17" t="s">
        <v>89</v>
      </c>
      <c r="E203" s="1" t="s">
        <v>183</v>
      </c>
      <c r="F203" s="23">
        <v>240</v>
      </c>
      <c r="G203" s="23"/>
      <c r="H203" s="26">
        <v>323</v>
      </c>
      <c r="I203"/>
    </row>
    <row r="204" spans="1:9" ht="22.5" hidden="1">
      <c r="A204" s="16"/>
      <c r="B204" s="114" t="s">
        <v>199</v>
      </c>
      <c r="C204" s="22">
        <v>966</v>
      </c>
      <c r="D204" s="16" t="s">
        <v>89</v>
      </c>
      <c r="E204" s="1" t="s">
        <v>183</v>
      </c>
      <c r="F204" s="23">
        <v>244</v>
      </c>
      <c r="G204" s="164"/>
      <c r="H204" s="156">
        <f>H205+H206</f>
        <v>323</v>
      </c>
      <c r="I204"/>
    </row>
    <row r="205" spans="1:12" ht="12.75" hidden="1">
      <c r="A205" s="16"/>
      <c r="B205" s="5" t="s">
        <v>208</v>
      </c>
      <c r="C205" s="22">
        <v>966</v>
      </c>
      <c r="D205" s="16" t="s">
        <v>89</v>
      </c>
      <c r="E205" s="9" t="s">
        <v>183</v>
      </c>
      <c r="F205" s="22">
        <v>244</v>
      </c>
      <c r="G205" s="165">
        <v>226</v>
      </c>
      <c r="H205" s="158">
        <v>26.5</v>
      </c>
      <c r="I205" t="s">
        <v>251</v>
      </c>
      <c r="L205">
        <v>-367.3</v>
      </c>
    </row>
    <row r="206" spans="1:9" ht="13.5" hidden="1" thickBot="1">
      <c r="A206" s="110"/>
      <c r="B206" s="103" t="s">
        <v>218</v>
      </c>
      <c r="C206" s="22">
        <v>966</v>
      </c>
      <c r="D206" s="16" t="s">
        <v>89</v>
      </c>
      <c r="E206" s="9" t="s">
        <v>183</v>
      </c>
      <c r="F206" s="22">
        <v>244</v>
      </c>
      <c r="G206" s="165">
        <v>310</v>
      </c>
      <c r="H206" s="166">
        <v>296.5</v>
      </c>
      <c r="I206"/>
    </row>
    <row r="207" spans="1:9" ht="34.5" thickBot="1">
      <c r="A207" s="40" t="s">
        <v>138</v>
      </c>
      <c r="B207" s="41" t="s">
        <v>129</v>
      </c>
      <c r="C207" s="42">
        <v>966</v>
      </c>
      <c r="D207" s="43" t="s">
        <v>89</v>
      </c>
      <c r="E207" s="43" t="s">
        <v>184</v>
      </c>
      <c r="F207" s="42"/>
      <c r="G207" s="42"/>
      <c r="H207" s="181">
        <v>1908.9</v>
      </c>
      <c r="I207"/>
    </row>
    <row r="208" spans="1:9" ht="22.5">
      <c r="A208" s="16" t="s">
        <v>139</v>
      </c>
      <c r="B208" s="33" t="s">
        <v>24</v>
      </c>
      <c r="C208" s="22">
        <v>966</v>
      </c>
      <c r="D208" s="16" t="s">
        <v>89</v>
      </c>
      <c r="E208" s="9" t="s">
        <v>184</v>
      </c>
      <c r="F208" s="22">
        <v>200</v>
      </c>
      <c r="G208" s="22"/>
      <c r="H208" s="25">
        <f>H209</f>
        <v>1908.8999999999999</v>
      </c>
      <c r="I208"/>
    </row>
    <row r="209" spans="1:9" ht="23.25" thickBot="1">
      <c r="A209" s="16"/>
      <c r="B209" s="5" t="s">
        <v>108</v>
      </c>
      <c r="C209" s="22">
        <v>966</v>
      </c>
      <c r="D209" s="16" t="s">
        <v>89</v>
      </c>
      <c r="E209" s="9" t="s">
        <v>184</v>
      </c>
      <c r="F209" s="22">
        <v>240</v>
      </c>
      <c r="G209" s="22"/>
      <c r="H209" s="25">
        <f>H210</f>
        <v>1908.8999999999999</v>
      </c>
      <c r="I209"/>
    </row>
    <row r="210" spans="1:9" ht="22.5" hidden="1">
      <c r="A210" s="16"/>
      <c r="B210" s="35" t="s">
        <v>199</v>
      </c>
      <c r="C210" s="22">
        <v>966</v>
      </c>
      <c r="D210" s="16" t="s">
        <v>89</v>
      </c>
      <c r="E210" s="9" t="s">
        <v>184</v>
      </c>
      <c r="F210" s="22">
        <v>244</v>
      </c>
      <c r="G210" s="22"/>
      <c r="H210" s="25">
        <f>H211+H212+H213</f>
        <v>1908.8999999999999</v>
      </c>
      <c r="I210"/>
    </row>
    <row r="211" spans="1:12" ht="12.75" hidden="1">
      <c r="A211" s="16"/>
      <c r="B211" s="5" t="s">
        <v>208</v>
      </c>
      <c r="C211" s="22">
        <v>966</v>
      </c>
      <c r="D211" s="16" t="s">
        <v>89</v>
      </c>
      <c r="E211" s="9" t="s">
        <v>184</v>
      </c>
      <c r="F211" s="22">
        <v>244</v>
      </c>
      <c r="G211" s="22">
        <v>226</v>
      </c>
      <c r="H211" s="25">
        <v>1810.6</v>
      </c>
      <c r="I211" t="s">
        <v>251</v>
      </c>
      <c r="L211">
        <v>-1698.8</v>
      </c>
    </row>
    <row r="212" spans="1:9" ht="12.75" hidden="1">
      <c r="A212" s="110"/>
      <c r="B212" s="103" t="s">
        <v>203</v>
      </c>
      <c r="C212" s="22">
        <v>966</v>
      </c>
      <c r="D212" s="16" t="s">
        <v>89</v>
      </c>
      <c r="E212" s="9" t="s">
        <v>184</v>
      </c>
      <c r="F212" s="22">
        <v>244</v>
      </c>
      <c r="G212" s="22">
        <v>290</v>
      </c>
      <c r="H212" s="26">
        <v>0</v>
      </c>
      <c r="I212"/>
    </row>
    <row r="213" spans="1:9" ht="13.5" hidden="1" thickBot="1">
      <c r="A213" s="167"/>
      <c r="B213" s="6" t="s">
        <v>217</v>
      </c>
      <c r="C213" s="45">
        <v>966</v>
      </c>
      <c r="D213" s="46" t="s">
        <v>89</v>
      </c>
      <c r="E213" s="58" t="s">
        <v>184</v>
      </c>
      <c r="F213" s="45">
        <v>244</v>
      </c>
      <c r="G213" s="45">
        <v>340</v>
      </c>
      <c r="H213" s="28">
        <v>98.3</v>
      </c>
      <c r="I213"/>
    </row>
    <row r="214" spans="1:9" ht="34.5" thickBot="1">
      <c r="A214" s="40" t="s">
        <v>140</v>
      </c>
      <c r="B214" s="41" t="s">
        <v>130</v>
      </c>
      <c r="C214" s="42">
        <v>966</v>
      </c>
      <c r="D214" s="43" t="s">
        <v>89</v>
      </c>
      <c r="E214" s="43" t="s">
        <v>185</v>
      </c>
      <c r="F214" s="42"/>
      <c r="G214" s="42"/>
      <c r="H214" s="181">
        <f>H215</f>
        <v>8627.7</v>
      </c>
      <c r="I214"/>
    </row>
    <row r="215" spans="1:9" ht="22.5">
      <c r="A215" s="16" t="s">
        <v>141</v>
      </c>
      <c r="B215" s="50" t="s">
        <v>24</v>
      </c>
      <c r="C215" s="22">
        <v>966</v>
      </c>
      <c r="D215" s="16" t="s">
        <v>89</v>
      </c>
      <c r="E215" s="9" t="s">
        <v>185</v>
      </c>
      <c r="F215" s="22">
        <v>200</v>
      </c>
      <c r="G215" s="22"/>
      <c r="H215" s="25">
        <f>H216</f>
        <v>8627.7</v>
      </c>
      <c r="I215"/>
    </row>
    <row r="216" spans="1:9" ht="22.5">
      <c r="A216" s="16"/>
      <c r="B216" s="5" t="s">
        <v>108</v>
      </c>
      <c r="C216" s="22">
        <v>966</v>
      </c>
      <c r="D216" s="16" t="s">
        <v>89</v>
      </c>
      <c r="E216" s="9" t="s">
        <v>185</v>
      </c>
      <c r="F216" s="22">
        <v>240</v>
      </c>
      <c r="G216" s="22"/>
      <c r="H216" s="25">
        <f>H217</f>
        <v>8627.7</v>
      </c>
      <c r="I216"/>
    </row>
    <row r="217" spans="1:9" ht="22.5">
      <c r="A217" s="16"/>
      <c r="B217" s="35" t="s">
        <v>199</v>
      </c>
      <c r="C217" s="22">
        <v>966</v>
      </c>
      <c r="D217" s="16" t="s">
        <v>89</v>
      </c>
      <c r="E217" s="9" t="s">
        <v>185</v>
      </c>
      <c r="F217" s="22">
        <v>244</v>
      </c>
      <c r="G217" s="22"/>
      <c r="H217" s="25">
        <f>H218+H219+H220</f>
        <v>8627.7</v>
      </c>
      <c r="I217"/>
    </row>
    <row r="218" spans="1:12" ht="12.75">
      <c r="A218" s="16"/>
      <c r="B218" s="5" t="s">
        <v>208</v>
      </c>
      <c r="C218" s="22">
        <v>966</v>
      </c>
      <c r="D218" s="16" t="s">
        <v>89</v>
      </c>
      <c r="E218" s="9" t="s">
        <v>185</v>
      </c>
      <c r="F218" s="22">
        <v>244</v>
      </c>
      <c r="G218" s="22">
        <v>226</v>
      </c>
      <c r="H218" s="25">
        <v>6501.1</v>
      </c>
      <c r="I218" t="s">
        <v>251</v>
      </c>
      <c r="L218">
        <f>-3999.5-86.5</f>
        <v>-4086</v>
      </c>
    </row>
    <row r="219" spans="1:12" ht="12.75">
      <c r="A219" s="186"/>
      <c r="B219" s="5" t="s">
        <v>218</v>
      </c>
      <c r="C219" s="45">
        <v>966</v>
      </c>
      <c r="D219" s="106" t="s">
        <v>89</v>
      </c>
      <c r="E219" s="1" t="s">
        <v>185</v>
      </c>
      <c r="F219" s="107">
        <v>244</v>
      </c>
      <c r="G219" s="107">
        <v>310</v>
      </c>
      <c r="H219" s="26">
        <f>1971.4+100</f>
        <v>2071.4</v>
      </c>
      <c r="I219"/>
      <c r="L219">
        <v>86.5</v>
      </c>
    </row>
    <row r="220" spans="1:12" ht="13.5" thickBot="1">
      <c r="A220" s="110"/>
      <c r="B220" s="103"/>
      <c r="C220" s="45">
        <v>966</v>
      </c>
      <c r="D220" s="46" t="s">
        <v>89</v>
      </c>
      <c r="E220" s="9" t="s">
        <v>185</v>
      </c>
      <c r="F220" s="45">
        <v>244</v>
      </c>
      <c r="G220" s="45">
        <v>310</v>
      </c>
      <c r="H220" s="185">
        <v>55.2</v>
      </c>
      <c r="I220"/>
      <c r="L220">
        <v>86.5</v>
      </c>
    </row>
    <row r="221" spans="1:9" ht="34.5" thickBot="1">
      <c r="A221" s="40" t="s">
        <v>142</v>
      </c>
      <c r="B221" s="41" t="s">
        <v>244</v>
      </c>
      <c r="C221" s="42">
        <v>966</v>
      </c>
      <c r="D221" s="43" t="s">
        <v>89</v>
      </c>
      <c r="E221" s="43" t="s">
        <v>232</v>
      </c>
      <c r="F221" s="42"/>
      <c r="G221" s="42"/>
      <c r="H221" s="181">
        <f>H222</f>
        <v>10000</v>
      </c>
      <c r="I221"/>
    </row>
    <row r="222" spans="1:9" ht="22.5">
      <c r="A222" s="9" t="s">
        <v>143</v>
      </c>
      <c r="B222" s="50" t="s">
        <v>24</v>
      </c>
      <c r="C222" s="29">
        <v>966</v>
      </c>
      <c r="D222" s="9" t="s">
        <v>89</v>
      </c>
      <c r="E222" s="9" t="s">
        <v>232</v>
      </c>
      <c r="F222" s="29">
        <v>200</v>
      </c>
      <c r="G222" s="29"/>
      <c r="H222" s="25">
        <f>H223</f>
        <v>10000</v>
      </c>
      <c r="I222"/>
    </row>
    <row r="223" spans="1:9" ht="23.25" thickBot="1">
      <c r="A223" s="9"/>
      <c r="B223" s="5" t="s">
        <v>108</v>
      </c>
      <c r="C223" s="29">
        <v>966</v>
      </c>
      <c r="D223" s="9" t="s">
        <v>89</v>
      </c>
      <c r="E223" s="9" t="s">
        <v>232</v>
      </c>
      <c r="F223" s="29">
        <v>240</v>
      </c>
      <c r="G223" s="29"/>
      <c r="H223" s="25">
        <f>H224</f>
        <v>10000</v>
      </c>
      <c r="I223"/>
    </row>
    <row r="224" spans="1:9" ht="22.5" hidden="1">
      <c r="A224" s="9"/>
      <c r="B224" s="35" t="s">
        <v>199</v>
      </c>
      <c r="C224" s="29">
        <v>966</v>
      </c>
      <c r="D224" s="9" t="s">
        <v>89</v>
      </c>
      <c r="E224" s="9" t="s">
        <v>232</v>
      </c>
      <c r="F224" s="29">
        <v>244</v>
      </c>
      <c r="G224" s="29"/>
      <c r="H224" s="25">
        <f>H225+H226+H227</f>
        <v>10000</v>
      </c>
      <c r="I224"/>
    </row>
    <row r="225" spans="1:13" ht="12.75" hidden="1">
      <c r="A225" s="9"/>
      <c r="B225" s="5" t="s">
        <v>208</v>
      </c>
      <c r="C225" s="29">
        <v>966</v>
      </c>
      <c r="D225" s="9" t="s">
        <v>89</v>
      </c>
      <c r="E225" s="9" t="s">
        <v>232</v>
      </c>
      <c r="F225" s="29">
        <v>244</v>
      </c>
      <c r="G225" s="29">
        <v>226</v>
      </c>
      <c r="H225" s="25">
        <f>10125.3-125.3-1503.1-1618.5-431</f>
        <v>6447.4</v>
      </c>
      <c r="I225"/>
      <c r="L225">
        <f>-1618.5-431</f>
        <v>-2049.5</v>
      </c>
      <c r="M225" s="168"/>
    </row>
    <row r="226" spans="1:12" ht="12.75" hidden="1">
      <c r="A226" s="1"/>
      <c r="B226" s="5" t="s">
        <v>218</v>
      </c>
      <c r="C226" s="29">
        <v>966</v>
      </c>
      <c r="D226" s="9" t="s">
        <v>89</v>
      </c>
      <c r="E226" s="9" t="s">
        <v>232</v>
      </c>
      <c r="F226" s="29">
        <v>244</v>
      </c>
      <c r="G226" s="27">
        <v>310</v>
      </c>
      <c r="H226" s="26">
        <f>915.9+1618.5</f>
        <v>2534.4</v>
      </c>
      <c r="I226"/>
      <c r="L226">
        <v>1618.5</v>
      </c>
    </row>
    <row r="227" spans="1:12" ht="13.5" hidden="1" thickBot="1">
      <c r="A227" s="59"/>
      <c r="B227" s="152" t="s">
        <v>217</v>
      </c>
      <c r="C227" s="155">
        <v>966</v>
      </c>
      <c r="D227" s="58" t="s">
        <v>89</v>
      </c>
      <c r="E227" s="58" t="s">
        <v>232</v>
      </c>
      <c r="F227" s="155">
        <v>244</v>
      </c>
      <c r="G227" s="153">
        <v>340</v>
      </c>
      <c r="H227" s="28">
        <f>587.2+431</f>
        <v>1018.2</v>
      </c>
      <c r="I227"/>
      <c r="L227">
        <v>431</v>
      </c>
    </row>
    <row r="228" spans="1:9" ht="34.5" thickBot="1">
      <c r="A228" s="40" t="s">
        <v>144</v>
      </c>
      <c r="B228" s="41" t="s">
        <v>193</v>
      </c>
      <c r="C228" s="42">
        <v>966</v>
      </c>
      <c r="D228" s="43" t="s">
        <v>89</v>
      </c>
      <c r="E228" s="43" t="s">
        <v>233</v>
      </c>
      <c r="F228" s="42"/>
      <c r="G228" s="42"/>
      <c r="H228" s="181">
        <f>H229</f>
        <v>5622.300000000001</v>
      </c>
      <c r="I228"/>
    </row>
    <row r="229" spans="1:9" ht="22.5">
      <c r="A229" s="9" t="s">
        <v>145</v>
      </c>
      <c r="B229" s="33" t="s">
        <v>24</v>
      </c>
      <c r="C229" s="29">
        <v>966</v>
      </c>
      <c r="D229" s="9" t="s">
        <v>89</v>
      </c>
      <c r="E229" s="9" t="s">
        <v>233</v>
      </c>
      <c r="F229" s="29">
        <v>200</v>
      </c>
      <c r="G229" s="29"/>
      <c r="H229" s="25">
        <f>H230</f>
        <v>5622.300000000001</v>
      </c>
      <c r="I229"/>
    </row>
    <row r="230" spans="1:9" ht="23.25" thickBot="1">
      <c r="A230" s="9"/>
      <c r="B230" s="5" t="s">
        <v>108</v>
      </c>
      <c r="C230" s="29">
        <v>966</v>
      </c>
      <c r="D230" s="9" t="s">
        <v>89</v>
      </c>
      <c r="E230" s="9" t="s">
        <v>233</v>
      </c>
      <c r="F230" s="29">
        <v>240</v>
      </c>
      <c r="G230" s="29"/>
      <c r="H230" s="25">
        <f>H231</f>
        <v>5622.300000000001</v>
      </c>
      <c r="I230"/>
    </row>
    <row r="231" spans="1:9" ht="22.5" hidden="1">
      <c r="A231" s="9"/>
      <c r="B231" s="35" t="s">
        <v>199</v>
      </c>
      <c r="C231" s="29">
        <v>966</v>
      </c>
      <c r="D231" s="9" t="s">
        <v>89</v>
      </c>
      <c r="E231" s="9" t="s">
        <v>233</v>
      </c>
      <c r="F231" s="29">
        <v>244</v>
      </c>
      <c r="G231" s="29"/>
      <c r="H231" s="25">
        <f>H232+H233</f>
        <v>5622.300000000001</v>
      </c>
      <c r="I231"/>
    </row>
    <row r="232" spans="1:9" ht="12.75" hidden="1">
      <c r="A232" s="9"/>
      <c r="B232" s="5" t="s">
        <v>208</v>
      </c>
      <c r="C232" s="29">
        <v>966</v>
      </c>
      <c r="D232" s="9" t="s">
        <v>89</v>
      </c>
      <c r="E232" s="9" t="s">
        <v>233</v>
      </c>
      <c r="F232" s="29">
        <v>244</v>
      </c>
      <c r="G232" s="29">
        <v>226</v>
      </c>
      <c r="H232" s="25">
        <f>1125.1+5014.1-2190-516.9</f>
        <v>3432.3000000000006</v>
      </c>
      <c r="I232"/>
    </row>
    <row r="233" spans="1:9" ht="13.5" hidden="1" thickBot="1">
      <c r="A233" s="9"/>
      <c r="B233" s="5" t="s">
        <v>218</v>
      </c>
      <c r="C233" s="29">
        <v>966</v>
      </c>
      <c r="D233" s="9" t="s">
        <v>89</v>
      </c>
      <c r="E233" s="9" t="s">
        <v>233</v>
      </c>
      <c r="F233" s="29">
        <v>244</v>
      </c>
      <c r="G233" s="29">
        <v>310</v>
      </c>
      <c r="H233" s="25">
        <v>2190</v>
      </c>
      <c r="I233"/>
    </row>
    <row r="234" spans="1:9" ht="45.75" thickBot="1">
      <c r="A234" s="40" t="s">
        <v>146</v>
      </c>
      <c r="B234" s="41" t="s">
        <v>243</v>
      </c>
      <c r="C234" s="42">
        <v>966</v>
      </c>
      <c r="D234" s="43" t="s">
        <v>89</v>
      </c>
      <c r="E234" s="43" t="s">
        <v>186</v>
      </c>
      <c r="F234" s="42"/>
      <c r="G234" s="42"/>
      <c r="H234" s="181">
        <f>H238</f>
        <v>2680.3</v>
      </c>
      <c r="I234"/>
    </row>
    <row r="235" spans="1:9" ht="22.5">
      <c r="A235" s="16" t="s">
        <v>147</v>
      </c>
      <c r="B235" s="114" t="s">
        <v>24</v>
      </c>
      <c r="C235" s="22">
        <v>966</v>
      </c>
      <c r="D235" s="16" t="s">
        <v>89</v>
      </c>
      <c r="E235" s="9" t="s">
        <v>186</v>
      </c>
      <c r="F235" s="22">
        <v>200</v>
      </c>
      <c r="G235" s="22"/>
      <c r="H235" s="25">
        <f>H237</f>
        <v>2680.3</v>
      </c>
      <c r="I235"/>
    </row>
    <row r="236" spans="1:9" ht="23.25" thickBot="1">
      <c r="A236" s="17"/>
      <c r="B236" s="5" t="s">
        <v>108</v>
      </c>
      <c r="C236" s="23">
        <v>966</v>
      </c>
      <c r="D236" s="17" t="s">
        <v>89</v>
      </c>
      <c r="E236" s="1" t="s">
        <v>186</v>
      </c>
      <c r="F236" s="23">
        <v>240</v>
      </c>
      <c r="G236" s="23"/>
      <c r="H236" s="26">
        <f>H237</f>
        <v>2680.3</v>
      </c>
      <c r="I236"/>
    </row>
    <row r="237" spans="1:9" ht="22.5" hidden="1">
      <c r="A237" s="17"/>
      <c r="B237" s="35" t="s">
        <v>199</v>
      </c>
      <c r="C237" s="23">
        <v>966</v>
      </c>
      <c r="D237" s="17" t="s">
        <v>89</v>
      </c>
      <c r="E237" s="1" t="s">
        <v>186</v>
      </c>
      <c r="F237" s="23">
        <v>244</v>
      </c>
      <c r="G237" s="23"/>
      <c r="H237" s="26">
        <f>H238</f>
        <v>2680.3</v>
      </c>
      <c r="I237"/>
    </row>
    <row r="238" spans="1:9" ht="13.5" hidden="1" thickBot="1">
      <c r="A238" s="17"/>
      <c r="B238" s="5" t="s">
        <v>208</v>
      </c>
      <c r="C238" s="23">
        <v>966</v>
      </c>
      <c r="D238" s="17" t="s">
        <v>89</v>
      </c>
      <c r="E238" s="1" t="s">
        <v>186</v>
      </c>
      <c r="F238" s="23">
        <v>244</v>
      </c>
      <c r="G238" s="23">
        <v>226</v>
      </c>
      <c r="H238" s="26">
        <f>5110.3-3030+650-50</f>
        <v>2680.3</v>
      </c>
      <c r="I238"/>
    </row>
    <row r="239" spans="1:9" ht="57" thickBot="1">
      <c r="A239" s="40" t="s">
        <v>194</v>
      </c>
      <c r="B239" s="41" t="s">
        <v>164</v>
      </c>
      <c r="C239" s="42">
        <v>966</v>
      </c>
      <c r="D239" s="43" t="s">
        <v>89</v>
      </c>
      <c r="E239" s="43" t="s">
        <v>196</v>
      </c>
      <c r="F239" s="42"/>
      <c r="G239" s="42"/>
      <c r="H239" s="62">
        <f>H242</f>
        <v>0</v>
      </c>
      <c r="I239"/>
    </row>
    <row r="240" spans="1:9" ht="22.5">
      <c r="A240" s="116" t="s">
        <v>195</v>
      </c>
      <c r="B240" s="169" t="s">
        <v>24</v>
      </c>
      <c r="C240" s="115">
        <v>966</v>
      </c>
      <c r="D240" s="116" t="s">
        <v>89</v>
      </c>
      <c r="E240" s="9" t="s">
        <v>196</v>
      </c>
      <c r="F240" s="115">
        <v>200</v>
      </c>
      <c r="G240" s="115"/>
      <c r="H240" s="25">
        <f>H242</f>
        <v>0</v>
      </c>
      <c r="I240"/>
    </row>
    <row r="241" spans="1:9" ht="22.5">
      <c r="A241" s="106"/>
      <c r="B241" s="5" t="s">
        <v>108</v>
      </c>
      <c r="C241" s="107">
        <v>966</v>
      </c>
      <c r="D241" s="106" t="s">
        <v>89</v>
      </c>
      <c r="E241" s="1" t="s">
        <v>196</v>
      </c>
      <c r="F241" s="107">
        <v>240</v>
      </c>
      <c r="G241" s="107"/>
      <c r="H241" s="26">
        <f>H242</f>
        <v>0</v>
      </c>
      <c r="I241"/>
    </row>
    <row r="242" spans="1:9" ht="22.5">
      <c r="A242" s="106"/>
      <c r="B242" s="35" t="s">
        <v>199</v>
      </c>
      <c r="C242" s="107">
        <v>966</v>
      </c>
      <c r="D242" s="106" t="s">
        <v>89</v>
      </c>
      <c r="E242" s="1" t="s">
        <v>196</v>
      </c>
      <c r="F242" s="107">
        <v>244</v>
      </c>
      <c r="G242" s="107"/>
      <c r="H242" s="26">
        <f>H243</f>
        <v>0</v>
      </c>
      <c r="I242"/>
    </row>
    <row r="243" spans="1:12" ht="13.5" thickBot="1">
      <c r="A243" s="48"/>
      <c r="B243" s="152" t="s">
        <v>218</v>
      </c>
      <c r="C243" s="49">
        <v>966</v>
      </c>
      <c r="D243" s="48" t="s">
        <v>89</v>
      </c>
      <c r="E243" s="59" t="s">
        <v>196</v>
      </c>
      <c r="F243" s="49">
        <v>244</v>
      </c>
      <c r="G243" s="49">
        <v>310</v>
      </c>
      <c r="H243" s="28">
        <f>983.7-200-783.7</f>
        <v>0</v>
      </c>
      <c r="I243"/>
      <c r="L243">
        <v>-783.7</v>
      </c>
    </row>
    <row r="244" spans="1:9" ht="23.25" thickBot="1">
      <c r="A244" s="40" t="s">
        <v>424</v>
      </c>
      <c r="B244" s="41" t="s">
        <v>259</v>
      </c>
      <c r="C244" s="42">
        <v>966</v>
      </c>
      <c r="D244" s="43" t="s">
        <v>89</v>
      </c>
      <c r="E244" s="43" t="s">
        <v>253</v>
      </c>
      <c r="F244" s="42"/>
      <c r="G244" s="42"/>
      <c r="H244" s="62">
        <f>H245+H256</f>
        <v>3506.8999999999996</v>
      </c>
      <c r="I244"/>
    </row>
    <row r="245" spans="1:9" ht="56.25">
      <c r="A245" s="116" t="s">
        <v>425</v>
      </c>
      <c r="B245" s="135" t="s">
        <v>105</v>
      </c>
      <c r="C245" s="45">
        <v>966</v>
      </c>
      <c r="D245" s="116" t="s">
        <v>89</v>
      </c>
      <c r="E245" s="9" t="s">
        <v>253</v>
      </c>
      <c r="F245" s="115">
        <v>100</v>
      </c>
      <c r="G245" s="115"/>
      <c r="H245" s="25">
        <f>H246</f>
        <v>3362.0999999999995</v>
      </c>
      <c r="I245"/>
    </row>
    <row r="246" spans="1:9" ht="22.5">
      <c r="A246" s="106"/>
      <c r="B246" s="141" t="s">
        <v>257</v>
      </c>
      <c r="C246" s="49">
        <v>966</v>
      </c>
      <c r="D246" s="106" t="s">
        <v>89</v>
      </c>
      <c r="E246" s="1" t="s">
        <v>253</v>
      </c>
      <c r="F246" s="107">
        <v>110</v>
      </c>
      <c r="G246" s="107"/>
      <c r="H246" s="26">
        <f>H247+H249+H251</f>
        <v>3362.0999999999995</v>
      </c>
      <c r="I246"/>
    </row>
    <row r="247" spans="1:9" ht="22.5" hidden="1">
      <c r="A247" s="106"/>
      <c r="B247" s="141" t="s">
        <v>254</v>
      </c>
      <c r="C247" s="49">
        <v>966</v>
      </c>
      <c r="D247" s="106" t="s">
        <v>89</v>
      </c>
      <c r="E247" s="1" t="s">
        <v>253</v>
      </c>
      <c r="F247" s="107">
        <v>111</v>
      </c>
      <c r="G247" s="107"/>
      <c r="H247" s="26">
        <f>H248</f>
        <v>2598.2</v>
      </c>
      <c r="I247"/>
    </row>
    <row r="248" spans="1:12" ht="12.75" hidden="1">
      <c r="A248" s="106"/>
      <c r="B248" s="141" t="s">
        <v>206</v>
      </c>
      <c r="C248" s="49">
        <v>966</v>
      </c>
      <c r="D248" s="106" t="s">
        <v>89</v>
      </c>
      <c r="E248" s="1" t="s">
        <v>253</v>
      </c>
      <c r="F248" s="107">
        <v>111</v>
      </c>
      <c r="G248" s="107">
        <v>211</v>
      </c>
      <c r="H248" s="26">
        <f>1786.5+811.7</f>
        <v>2598.2</v>
      </c>
      <c r="I248"/>
      <c r="L248">
        <v>811.7</v>
      </c>
    </row>
    <row r="249" spans="1:9" ht="33.75" hidden="1">
      <c r="A249" s="106"/>
      <c r="B249" s="20" t="s">
        <v>416</v>
      </c>
      <c r="C249" s="49">
        <v>966</v>
      </c>
      <c r="D249" s="106" t="s">
        <v>89</v>
      </c>
      <c r="E249" s="1" t="s">
        <v>253</v>
      </c>
      <c r="F249" s="107">
        <v>112</v>
      </c>
      <c r="G249" s="107"/>
      <c r="H249" s="26">
        <f>H250</f>
        <v>1.6</v>
      </c>
      <c r="I249"/>
    </row>
    <row r="250" spans="1:12" ht="12.75" hidden="1">
      <c r="A250" s="106"/>
      <c r="B250" s="20" t="s">
        <v>216</v>
      </c>
      <c r="C250" s="49">
        <v>966</v>
      </c>
      <c r="D250" s="106" t="s">
        <v>89</v>
      </c>
      <c r="E250" s="1" t="s">
        <v>253</v>
      </c>
      <c r="F250" s="107">
        <v>112</v>
      </c>
      <c r="G250" s="107">
        <v>222</v>
      </c>
      <c r="H250" s="26">
        <v>1.6</v>
      </c>
      <c r="I250"/>
      <c r="L250">
        <v>1.6</v>
      </c>
    </row>
    <row r="251" spans="1:9" ht="33.75" hidden="1">
      <c r="A251" s="106"/>
      <c r="B251" s="141" t="s">
        <v>418</v>
      </c>
      <c r="C251" s="49">
        <v>966</v>
      </c>
      <c r="D251" s="106" t="s">
        <v>89</v>
      </c>
      <c r="E251" s="1" t="s">
        <v>253</v>
      </c>
      <c r="F251" s="107">
        <v>119</v>
      </c>
      <c r="G251" s="107"/>
      <c r="H251" s="26">
        <f>H252</f>
        <v>762.3</v>
      </c>
      <c r="I251"/>
    </row>
    <row r="252" spans="1:13" ht="12.75" hidden="1">
      <c r="A252" s="106"/>
      <c r="B252" s="141" t="s">
        <v>207</v>
      </c>
      <c r="C252" s="49">
        <v>966</v>
      </c>
      <c r="D252" s="106" t="s">
        <v>89</v>
      </c>
      <c r="E252" s="1" t="s">
        <v>253</v>
      </c>
      <c r="F252" s="107">
        <v>119</v>
      </c>
      <c r="G252" s="107">
        <v>213</v>
      </c>
      <c r="H252" s="26">
        <f>535.9+94.5+133.4-1.5</f>
        <v>762.3</v>
      </c>
      <c r="I252"/>
      <c r="L252">
        <v>94.5</v>
      </c>
      <c r="M252">
        <v>133.4</v>
      </c>
    </row>
    <row r="253" spans="1:9" ht="22.5">
      <c r="A253" s="106"/>
      <c r="B253" s="20" t="s">
        <v>6</v>
      </c>
      <c r="C253" s="49">
        <v>966</v>
      </c>
      <c r="D253" s="106" t="s">
        <v>89</v>
      </c>
      <c r="E253" s="1" t="s">
        <v>253</v>
      </c>
      <c r="F253" s="107">
        <v>120</v>
      </c>
      <c r="G253" s="107"/>
      <c r="H253" s="26">
        <f>H254</f>
        <v>0</v>
      </c>
      <c r="I253"/>
    </row>
    <row r="254" spans="1:9" ht="33.75">
      <c r="A254" s="106"/>
      <c r="B254" s="20" t="s">
        <v>250</v>
      </c>
      <c r="C254" s="49">
        <v>966</v>
      </c>
      <c r="D254" s="106" t="s">
        <v>89</v>
      </c>
      <c r="E254" s="1" t="s">
        <v>253</v>
      </c>
      <c r="F254" s="107">
        <v>122</v>
      </c>
      <c r="G254" s="107"/>
      <c r="H254" s="26">
        <f>H255</f>
        <v>0</v>
      </c>
      <c r="I254"/>
    </row>
    <row r="255" spans="1:12" ht="12.75">
      <c r="A255" s="106"/>
      <c r="B255" s="20" t="s">
        <v>216</v>
      </c>
      <c r="C255" s="49">
        <v>966</v>
      </c>
      <c r="D255" s="106" t="s">
        <v>89</v>
      </c>
      <c r="E255" s="1" t="s">
        <v>253</v>
      </c>
      <c r="F255" s="107">
        <v>122</v>
      </c>
      <c r="G255" s="107">
        <v>222</v>
      </c>
      <c r="H255" s="26">
        <v>0</v>
      </c>
      <c r="I255"/>
      <c r="L255">
        <v>-1.6</v>
      </c>
    </row>
    <row r="256" spans="1:9" ht="22.5">
      <c r="A256" s="106" t="s">
        <v>426</v>
      </c>
      <c r="B256" s="141" t="s">
        <v>24</v>
      </c>
      <c r="C256" s="49">
        <v>966</v>
      </c>
      <c r="D256" s="106" t="s">
        <v>89</v>
      </c>
      <c r="E256" s="1" t="s">
        <v>253</v>
      </c>
      <c r="F256" s="107">
        <v>200</v>
      </c>
      <c r="G256" s="107"/>
      <c r="H256" s="26">
        <f>H257</f>
        <v>144.8</v>
      </c>
      <c r="I256"/>
    </row>
    <row r="257" spans="1:9" ht="22.5">
      <c r="A257" s="106"/>
      <c r="B257" s="141" t="s">
        <v>108</v>
      </c>
      <c r="C257" s="49">
        <v>966</v>
      </c>
      <c r="D257" s="106" t="s">
        <v>89</v>
      </c>
      <c r="E257" s="1" t="s">
        <v>253</v>
      </c>
      <c r="F257" s="107">
        <v>240</v>
      </c>
      <c r="G257" s="107"/>
      <c r="H257" s="26">
        <f>H260+H258</f>
        <v>144.8</v>
      </c>
      <c r="I257"/>
    </row>
    <row r="258" spans="1:9" ht="22.5" hidden="1">
      <c r="A258" s="106"/>
      <c r="B258" s="7" t="s">
        <v>202</v>
      </c>
      <c r="C258" s="49">
        <v>966</v>
      </c>
      <c r="D258" s="106" t="s">
        <v>89</v>
      </c>
      <c r="E258" s="1" t="s">
        <v>253</v>
      </c>
      <c r="F258" s="107">
        <v>242</v>
      </c>
      <c r="G258" s="107"/>
      <c r="H258" s="26">
        <f>H259</f>
        <v>0</v>
      </c>
      <c r="I258"/>
    </row>
    <row r="259" spans="1:13" ht="12.75" hidden="1">
      <c r="A259" s="106"/>
      <c r="B259" s="7" t="s">
        <v>211</v>
      </c>
      <c r="C259" s="49">
        <v>966</v>
      </c>
      <c r="D259" s="106" t="s">
        <v>89</v>
      </c>
      <c r="E259" s="1" t="s">
        <v>253</v>
      </c>
      <c r="F259" s="107">
        <v>242</v>
      </c>
      <c r="G259" s="107">
        <v>221</v>
      </c>
      <c r="H259" s="26">
        <f>1.3-0.9-0.4</f>
        <v>0</v>
      </c>
      <c r="I259"/>
      <c r="L259">
        <v>-0.9</v>
      </c>
      <c r="M259">
        <v>-0.4</v>
      </c>
    </row>
    <row r="260" spans="1:9" ht="22.5" hidden="1">
      <c r="A260" s="106"/>
      <c r="B260" s="141" t="s">
        <v>199</v>
      </c>
      <c r="C260" s="49">
        <v>966</v>
      </c>
      <c r="D260" s="106" t="s">
        <v>89</v>
      </c>
      <c r="E260" s="1" t="s">
        <v>253</v>
      </c>
      <c r="F260" s="107">
        <v>244</v>
      </c>
      <c r="G260" s="107"/>
      <c r="H260" s="26">
        <f>SUM(H261:H263)</f>
        <v>144.8</v>
      </c>
      <c r="I260"/>
    </row>
    <row r="261" spans="1:12" ht="12.75" hidden="1">
      <c r="A261" s="106"/>
      <c r="B261" s="141" t="s">
        <v>208</v>
      </c>
      <c r="C261" s="49">
        <v>966</v>
      </c>
      <c r="D261" s="106" t="s">
        <v>89</v>
      </c>
      <c r="E261" s="1" t="s">
        <v>253</v>
      </c>
      <c r="F261" s="107">
        <v>244</v>
      </c>
      <c r="G261" s="107">
        <v>226</v>
      </c>
      <c r="H261" s="26">
        <f>200-195.9</f>
        <v>4.099999999999994</v>
      </c>
      <c r="I261"/>
      <c r="L261">
        <v>-195.9</v>
      </c>
    </row>
    <row r="262" spans="1:12" ht="12.75" hidden="1">
      <c r="A262" s="106"/>
      <c r="B262" s="141" t="s">
        <v>218</v>
      </c>
      <c r="C262" s="49">
        <v>966</v>
      </c>
      <c r="D262" s="106" t="s">
        <v>89</v>
      </c>
      <c r="E262" s="1" t="s">
        <v>253</v>
      </c>
      <c r="F262" s="107">
        <v>244</v>
      </c>
      <c r="G262" s="107">
        <v>310</v>
      </c>
      <c r="H262" s="26">
        <f>150-79.3-70</f>
        <v>0.7000000000000028</v>
      </c>
      <c r="I262"/>
      <c r="L262">
        <f>-79.3-70</f>
        <v>-149.3</v>
      </c>
    </row>
    <row r="263" spans="1:12" ht="12.75" hidden="1">
      <c r="A263" s="106"/>
      <c r="B263" s="141" t="s">
        <v>217</v>
      </c>
      <c r="C263" s="49">
        <v>966</v>
      </c>
      <c r="D263" s="106" t="s">
        <v>89</v>
      </c>
      <c r="E263" s="1" t="s">
        <v>253</v>
      </c>
      <c r="F263" s="107">
        <v>244</v>
      </c>
      <c r="G263" s="107">
        <v>340</v>
      </c>
      <c r="H263" s="26">
        <f>300-160</f>
        <v>140</v>
      </c>
      <c r="I263"/>
      <c r="L263">
        <v>-160</v>
      </c>
    </row>
    <row r="264" spans="1:9" ht="33.75">
      <c r="A264" s="137" t="s">
        <v>427</v>
      </c>
      <c r="B264" s="136" t="s">
        <v>264</v>
      </c>
      <c r="C264" s="138">
        <v>966</v>
      </c>
      <c r="D264" s="139" t="s">
        <v>89</v>
      </c>
      <c r="E264" s="139" t="s">
        <v>173</v>
      </c>
      <c r="F264" s="138"/>
      <c r="G264" s="138"/>
      <c r="H264" s="140">
        <f>H265</f>
        <v>330.79999999999995</v>
      </c>
      <c r="I264"/>
    </row>
    <row r="265" spans="1:9" ht="22.5">
      <c r="A265" s="106" t="s">
        <v>256</v>
      </c>
      <c r="B265" s="141" t="s">
        <v>199</v>
      </c>
      <c r="C265" s="49">
        <v>966</v>
      </c>
      <c r="D265" s="106" t="s">
        <v>89</v>
      </c>
      <c r="E265" s="106" t="s">
        <v>173</v>
      </c>
      <c r="F265" s="107">
        <v>200</v>
      </c>
      <c r="G265" s="107"/>
      <c r="H265" s="133">
        <f>H266</f>
        <v>330.79999999999995</v>
      </c>
      <c r="I265"/>
    </row>
    <row r="266" spans="1:9" ht="23.25" thickBot="1">
      <c r="A266" s="106"/>
      <c r="B266" s="5" t="s">
        <v>108</v>
      </c>
      <c r="C266" s="107">
        <v>966</v>
      </c>
      <c r="D266" s="106" t="s">
        <v>89</v>
      </c>
      <c r="E266" s="1" t="s">
        <v>173</v>
      </c>
      <c r="F266" s="107">
        <v>240</v>
      </c>
      <c r="G266" s="107"/>
      <c r="H266" s="26">
        <f>H267</f>
        <v>330.79999999999995</v>
      </c>
      <c r="I266"/>
    </row>
    <row r="267" spans="1:9" ht="22.5" hidden="1">
      <c r="A267" s="106"/>
      <c r="B267" s="5" t="s">
        <v>199</v>
      </c>
      <c r="C267" s="107">
        <v>966</v>
      </c>
      <c r="D267" s="106" t="s">
        <v>89</v>
      </c>
      <c r="E267" s="1" t="s">
        <v>173</v>
      </c>
      <c r="F267" s="107">
        <v>244</v>
      </c>
      <c r="G267" s="107"/>
      <c r="H267" s="26">
        <f>H268</f>
        <v>330.79999999999995</v>
      </c>
      <c r="I267"/>
    </row>
    <row r="268" spans="1:13" ht="13.5" hidden="1" thickBot="1">
      <c r="A268" s="48"/>
      <c r="B268" s="152" t="s">
        <v>208</v>
      </c>
      <c r="C268" s="49">
        <v>966</v>
      </c>
      <c r="D268" s="48" t="s">
        <v>89</v>
      </c>
      <c r="E268" s="59" t="s">
        <v>173</v>
      </c>
      <c r="F268" s="49">
        <v>244</v>
      </c>
      <c r="G268" s="49">
        <v>266</v>
      </c>
      <c r="H268" s="28">
        <f>377.4-46.6</f>
        <v>330.79999999999995</v>
      </c>
      <c r="I268"/>
      <c r="M268">
        <v>-46.6</v>
      </c>
    </row>
    <row r="269" spans="1:9" ht="13.5" thickBot="1">
      <c r="A269" s="75" t="s">
        <v>134</v>
      </c>
      <c r="B269" s="76" t="s">
        <v>53</v>
      </c>
      <c r="C269" s="77">
        <v>966</v>
      </c>
      <c r="D269" s="78" t="s">
        <v>90</v>
      </c>
      <c r="E269" s="78"/>
      <c r="F269" s="77"/>
      <c r="G269" s="77"/>
      <c r="H269" s="79">
        <f>H270</f>
        <v>216.00000000000003</v>
      </c>
      <c r="I269"/>
    </row>
    <row r="270" spans="1:9" ht="13.5" thickBot="1">
      <c r="A270" s="69" t="s">
        <v>166</v>
      </c>
      <c r="B270" s="70" t="s">
        <v>55</v>
      </c>
      <c r="C270" s="71">
        <v>966</v>
      </c>
      <c r="D270" s="72" t="s">
        <v>91</v>
      </c>
      <c r="E270" s="72"/>
      <c r="F270" s="71"/>
      <c r="G270" s="71"/>
      <c r="H270" s="73">
        <f>H271</f>
        <v>216.00000000000003</v>
      </c>
      <c r="I270"/>
    </row>
    <row r="271" spans="1:9" ht="79.5" thickBot="1">
      <c r="A271" s="40" t="s">
        <v>51</v>
      </c>
      <c r="B271" s="41" t="s">
        <v>113</v>
      </c>
      <c r="C271" s="42">
        <v>966</v>
      </c>
      <c r="D271" s="43" t="s">
        <v>91</v>
      </c>
      <c r="E271" s="43" t="s">
        <v>187</v>
      </c>
      <c r="F271" s="42"/>
      <c r="G271" s="42"/>
      <c r="H271" s="62">
        <f>H274</f>
        <v>216.00000000000003</v>
      </c>
      <c r="I271"/>
    </row>
    <row r="272" spans="1:9" ht="22.5">
      <c r="A272" s="16" t="s">
        <v>52</v>
      </c>
      <c r="B272" s="50" t="s">
        <v>24</v>
      </c>
      <c r="C272" s="22">
        <v>966</v>
      </c>
      <c r="D272" s="16" t="s">
        <v>91</v>
      </c>
      <c r="E272" s="9" t="s">
        <v>187</v>
      </c>
      <c r="F272" s="22">
        <v>200</v>
      </c>
      <c r="G272" s="22"/>
      <c r="H272" s="25">
        <f>H274</f>
        <v>216.00000000000003</v>
      </c>
      <c r="I272"/>
    </row>
    <row r="273" spans="1:9" ht="23.25" thickBot="1">
      <c r="A273" s="16"/>
      <c r="B273" s="5" t="s">
        <v>108</v>
      </c>
      <c r="C273" s="22">
        <v>966</v>
      </c>
      <c r="D273" s="16" t="s">
        <v>91</v>
      </c>
      <c r="E273" s="9" t="s">
        <v>187</v>
      </c>
      <c r="F273" s="22">
        <v>240</v>
      </c>
      <c r="G273" s="22"/>
      <c r="H273" s="25">
        <f>H274</f>
        <v>216.00000000000003</v>
      </c>
      <c r="I273"/>
    </row>
    <row r="274" spans="1:9" ht="22.5" hidden="1">
      <c r="A274" s="16"/>
      <c r="B274" s="33" t="s">
        <v>199</v>
      </c>
      <c r="C274" s="22">
        <v>966</v>
      </c>
      <c r="D274" s="16" t="s">
        <v>91</v>
      </c>
      <c r="E274" s="9" t="s">
        <v>187</v>
      </c>
      <c r="F274" s="22">
        <v>244</v>
      </c>
      <c r="G274" s="22"/>
      <c r="H274" s="25">
        <f>H275</f>
        <v>216.00000000000003</v>
      </c>
      <c r="I274"/>
    </row>
    <row r="275" spans="1:13" ht="13.5" hidden="1" thickBot="1">
      <c r="A275" s="16"/>
      <c r="B275" s="5" t="s">
        <v>208</v>
      </c>
      <c r="C275" s="22">
        <v>966</v>
      </c>
      <c r="D275" s="16" t="s">
        <v>91</v>
      </c>
      <c r="E275" s="9" t="s">
        <v>187</v>
      </c>
      <c r="F275" s="22">
        <v>244</v>
      </c>
      <c r="G275" s="22">
        <v>226</v>
      </c>
      <c r="H275" s="25">
        <f>755.6-300-237.6-2</f>
        <v>216.00000000000003</v>
      </c>
      <c r="I275"/>
      <c r="M275">
        <v>-237.6</v>
      </c>
    </row>
    <row r="276" spans="1:9" ht="13.5" thickBot="1">
      <c r="A276" s="75" t="s">
        <v>148</v>
      </c>
      <c r="B276" s="76" t="s">
        <v>58</v>
      </c>
      <c r="C276" s="77">
        <v>966</v>
      </c>
      <c r="D276" s="78" t="s">
        <v>92</v>
      </c>
      <c r="E276" s="78"/>
      <c r="F276" s="77"/>
      <c r="G276" s="77"/>
      <c r="H276" s="79">
        <f>H277</f>
        <v>33260.2</v>
      </c>
      <c r="I276"/>
    </row>
    <row r="277" spans="1:9" ht="13.5" thickBot="1">
      <c r="A277" s="69" t="s">
        <v>54</v>
      </c>
      <c r="B277" s="70" t="s">
        <v>60</v>
      </c>
      <c r="C277" s="71">
        <v>966</v>
      </c>
      <c r="D277" s="72" t="s">
        <v>93</v>
      </c>
      <c r="E277" s="72"/>
      <c r="F277" s="71"/>
      <c r="G277" s="71"/>
      <c r="H277" s="73">
        <f>H278+H284</f>
        <v>33260.2</v>
      </c>
      <c r="I277"/>
    </row>
    <row r="278" spans="1:9" ht="45.75" thickBot="1">
      <c r="A278" s="40" t="s">
        <v>56</v>
      </c>
      <c r="B278" s="41" t="s">
        <v>122</v>
      </c>
      <c r="C278" s="42">
        <v>966</v>
      </c>
      <c r="D278" s="43" t="s">
        <v>93</v>
      </c>
      <c r="E278" s="43" t="s">
        <v>188</v>
      </c>
      <c r="F278" s="42"/>
      <c r="G278" s="42"/>
      <c r="H278" s="181">
        <f>H279</f>
        <v>32860.2</v>
      </c>
      <c r="I278"/>
    </row>
    <row r="279" spans="1:9" ht="22.5">
      <c r="A279" s="16" t="s">
        <v>57</v>
      </c>
      <c r="B279" s="33" t="s">
        <v>24</v>
      </c>
      <c r="C279" s="22">
        <v>966</v>
      </c>
      <c r="D279" s="16" t="s">
        <v>93</v>
      </c>
      <c r="E279" s="9" t="s">
        <v>188</v>
      </c>
      <c r="F279" s="22">
        <v>200</v>
      </c>
      <c r="G279" s="22"/>
      <c r="H279" s="25">
        <f>H280</f>
        <v>32860.2</v>
      </c>
      <c r="I279"/>
    </row>
    <row r="280" spans="1:9" ht="23.25" thickBot="1">
      <c r="A280" s="16"/>
      <c r="B280" s="5" t="s">
        <v>108</v>
      </c>
      <c r="C280" s="22">
        <v>966</v>
      </c>
      <c r="D280" s="16" t="s">
        <v>93</v>
      </c>
      <c r="E280" s="9" t="s">
        <v>188</v>
      </c>
      <c r="F280" s="22">
        <v>240</v>
      </c>
      <c r="G280" s="22"/>
      <c r="H280" s="25">
        <f>H281</f>
        <v>32860.2</v>
      </c>
      <c r="I280"/>
    </row>
    <row r="281" spans="1:9" ht="22.5" hidden="1">
      <c r="A281" s="16"/>
      <c r="B281" s="33" t="s">
        <v>199</v>
      </c>
      <c r="C281" s="22">
        <v>966</v>
      </c>
      <c r="D281" s="16" t="s">
        <v>93</v>
      </c>
      <c r="E281" s="9" t="s">
        <v>188</v>
      </c>
      <c r="F281" s="22">
        <v>244</v>
      </c>
      <c r="G281" s="22"/>
      <c r="H281" s="25">
        <f>32061.2+799</f>
        <v>32860.2</v>
      </c>
      <c r="I281"/>
    </row>
    <row r="282" spans="1:9" ht="12.75" hidden="1">
      <c r="A282" s="16"/>
      <c r="B282" s="5" t="s">
        <v>208</v>
      </c>
      <c r="C282" s="22">
        <v>966</v>
      </c>
      <c r="D282" s="16" t="s">
        <v>93</v>
      </c>
      <c r="E282" s="9" t="s">
        <v>188</v>
      </c>
      <c r="F282" s="22">
        <v>244</v>
      </c>
      <c r="G282" s="22">
        <v>226</v>
      </c>
      <c r="H282" s="25">
        <f>620-620</f>
        <v>0</v>
      </c>
      <c r="I282"/>
    </row>
    <row r="283" spans="1:12" ht="13.5" hidden="1" thickBot="1">
      <c r="A283" s="16"/>
      <c r="B283" s="5" t="s">
        <v>203</v>
      </c>
      <c r="C283" s="22">
        <v>966</v>
      </c>
      <c r="D283" s="16" t="s">
        <v>93</v>
      </c>
      <c r="E283" s="9" t="s">
        <v>188</v>
      </c>
      <c r="F283" s="22">
        <v>244</v>
      </c>
      <c r="G283" s="22">
        <v>290</v>
      </c>
      <c r="H283" s="25">
        <f>32061.2+799</f>
        <v>32860.2</v>
      </c>
      <c r="I283" t="s">
        <v>251</v>
      </c>
      <c r="L283">
        <v>8337.9</v>
      </c>
    </row>
    <row r="284" spans="1:9" ht="23.25" thickBot="1">
      <c r="A284" s="40" t="s">
        <v>149</v>
      </c>
      <c r="B284" s="41" t="s">
        <v>123</v>
      </c>
      <c r="C284" s="42">
        <v>966</v>
      </c>
      <c r="D284" s="43" t="s">
        <v>93</v>
      </c>
      <c r="E284" s="43" t="s">
        <v>189</v>
      </c>
      <c r="F284" s="42"/>
      <c r="G284" s="42"/>
      <c r="H284" s="181">
        <f>H285</f>
        <v>400</v>
      </c>
      <c r="I284"/>
    </row>
    <row r="285" spans="1:9" ht="22.5">
      <c r="A285" s="16" t="s">
        <v>150</v>
      </c>
      <c r="B285" s="33" t="s">
        <v>24</v>
      </c>
      <c r="C285" s="22">
        <v>966</v>
      </c>
      <c r="D285" s="16" t="s">
        <v>93</v>
      </c>
      <c r="E285" s="9" t="s">
        <v>189</v>
      </c>
      <c r="F285" s="22">
        <v>200</v>
      </c>
      <c r="G285" s="22"/>
      <c r="H285" s="25">
        <f>H286</f>
        <v>400</v>
      </c>
      <c r="I285"/>
    </row>
    <row r="286" spans="1:9" ht="23.25" thickBot="1">
      <c r="A286" s="16"/>
      <c r="B286" s="5" t="s">
        <v>108</v>
      </c>
      <c r="C286" s="22">
        <v>966</v>
      </c>
      <c r="D286" s="16" t="s">
        <v>93</v>
      </c>
      <c r="E286" s="9" t="s">
        <v>189</v>
      </c>
      <c r="F286" s="22">
        <v>240</v>
      </c>
      <c r="G286" s="22"/>
      <c r="H286" s="25">
        <f>H287</f>
        <v>400</v>
      </c>
      <c r="I286"/>
    </row>
    <row r="287" spans="1:9" ht="22.5" hidden="1">
      <c r="A287" s="16"/>
      <c r="B287" s="33" t="s">
        <v>199</v>
      </c>
      <c r="C287" s="22">
        <v>966</v>
      </c>
      <c r="D287" s="16" t="s">
        <v>93</v>
      </c>
      <c r="E287" s="9" t="s">
        <v>189</v>
      </c>
      <c r="F287" s="22">
        <v>244</v>
      </c>
      <c r="G287" s="22"/>
      <c r="H287" s="25">
        <f>H288</f>
        <v>400</v>
      </c>
      <c r="I287"/>
    </row>
    <row r="288" spans="1:12" ht="13.5" hidden="1" thickBot="1">
      <c r="A288" s="18"/>
      <c r="B288" s="6" t="s">
        <v>203</v>
      </c>
      <c r="C288" s="24">
        <v>966</v>
      </c>
      <c r="D288" s="18" t="s">
        <v>93</v>
      </c>
      <c r="E288" s="59" t="s">
        <v>189</v>
      </c>
      <c r="F288" s="24">
        <v>244</v>
      </c>
      <c r="G288" s="24">
        <v>290</v>
      </c>
      <c r="H288" s="28">
        <f>570-170</f>
        <v>400</v>
      </c>
      <c r="I288"/>
      <c r="L288">
        <v>-170</v>
      </c>
    </row>
    <row r="289" spans="1:9" ht="13.5" thickBot="1">
      <c r="A289" s="75" t="s">
        <v>151</v>
      </c>
      <c r="B289" s="76" t="s">
        <v>62</v>
      </c>
      <c r="C289" s="77">
        <v>966</v>
      </c>
      <c r="D289" s="78">
        <v>1000</v>
      </c>
      <c r="E289" s="78"/>
      <c r="F289" s="77"/>
      <c r="G289" s="77"/>
      <c r="H289" s="79">
        <f>H290+H296</f>
        <v>9779.519999999999</v>
      </c>
      <c r="I289"/>
    </row>
    <row r="290" spans="1:9" ht="13.5" thickBot="1">
      <c r="A290" s="69" t="s">
        <v>59</v>
      </c>
      <c r="B290" s="70" t="s">
        <v>64</v>
      </c>
      <c r="C290" s="71">
        <v>966</v>
      </c>
      <c r="D290" s="72">
        <v>1003</v>
      </c>
      <c r="E290" s="72"/>
      <c r="F290" s="71"/>
      <c r="G290" s="71"/>
      <c r="H290" s="73">
        <f>H291</f>
        <v>397.82</v>
      </c>
      <c r="I290"/>
    </row>
    <row r="291" spans="1:9" ht="57" thickBot="1">
      <c r="A291" s="40" t="s">
        <v>61</v>
      </c>
      <c r="B291" s="41" t="s">
        <v>99</v>
      </c>
      <c r="C291" s="42">
        <v>966</v>
      </c>
      <c r="D291" s="43">
        <v>1003</v>
      </c>
      <c r="E291" s="43" t="s">
        <v>190</v>
      </c>
      <c r="F291" s="42"/>
      <c r="G291" s="42"/>
      <c r="H291" s="62">
        <f>H295</f>
        <v>397.82</v>
      </c>
      <c r="I291"/>
    </row>
    <row r="292" spans="1:9" ht="12.75">
      <c r="A292" s="9" t="s">
        <v>152</v>
      </c>
      <c r="B292" s="10" t="s">
        <v>100</v>
      </c>
      <c r="C292" s="29">
        <v>966</v>
      </c>
      <c r="D292" s="9">
        <v>1003</v>
      </c>
      <c r="E292" s="9" t="s">
        <v>190</v>
      </c>
      <c r="F292" s="29">
        <v>300</v>
      </c>
      <c r="G292" s="29"/>
      <c r="H292" s="25">
        <f>H293</f>
        <v>397.82</v>
      </c>
      <c r="I292"/>
    </row>
    <row r="293" spans="1:9" ht="13.5" thickBot="1">
      <c r="A293" s="9"/>
      <c r="B293" s="35" t="s">
        <v>102</v>
      </c>
      <c r="C293" s="29">
        <v>966</v>
      </c>
      <c r="D293" s="9">
        <v>1003</v>
      </c>
      <c r="E293" s="9" t="s">
        <v>190</v>
      </c>
      <c r="F293" s="29">
        <v>310</v>
      </c>
      <c r="G293" s="29"/>
      <c r="H293" s="25">
        <f>H294</f>
        <v>397.82</v>
      </c>
      <c r="I293"/>
    </row>
    <row r="294" spans="1:9" ht="12.75" hidden="1">
      <c r="A294" s="9"/>
      <c r="B294" s="105" t="s">
        <v>201</v>
      </c>
      <c r="C294" s="29">
        <v>966</v>
      </c>
      <c r="D294" s="9">
        <v>1003</v>
      </c>
      <c r="E294" s="9" t="s">
        <v>190</v>
      </c>
      <c r="F294" s="29">
        <v>312</v>
      </c>
      <c r="G294" s="29"/>
      <c r="H294" s="25">
        <f>H295</f>
        <v>397.82</v>
      </c>
      <c r="I294"/>
    </row>
    <row r="295" spans="1:9" ht="23.25" hidden="1" thickBot="1">
      <c r="A295" s="9"/>
      <c r="B295" s="35" t="s">
        <v>242</v>
      </c>
      <c r="C295" s="29">
        <v>966</v>
      </c>
      <c r="D295" s="9">
        <v>1003</v>
      </c>
      <c r="E295" s="9" t="s">
        <v>190</v>
      </c>
      <c r="F295" s="29">
        <v>312</v>
      </c>
      <c r="G295" s="29">
        <v>263</v>
      </c>
      <c r="H295" s="25">
        <f>405.32-7.5</f>
        <v>397.82</v>
      </c>
      <c r="I295"/>
    </row>
    <row r="296" spans="1:9" ht="13.5" thickBot="1">
      <c r="A296" s="69" t="s">
        <v>153</v>
      </c>
      <c r="B296" s="70" t="s">
        <v>66</v>
      </c>
      <c r="C296" s="71">
        <v>966</v>
      </c>
      <c r="D296" s="72">
        <v>1004</v>
      </c>
      <c r="E296" s="72"/>
      <c r="F296" s="71"/>
      <c r="G296" s="71"/>
      <c r="H296" s="73">
        <f>H297+H301</f>
        <v>9381.699999999999</v>
      </c>
      <c r="I296"/>
    </row>
    <row r="297" spans="1:9" ht="45.75" thickBot="1">
      <c r="A297" s="40" t="s">
        <v>154</v>
      </c>
      <c r="B297" s="41" t="s">
        <v>126</v>
      </c>
      <c r="C297" s="42">
        <v>966</v>
      </c>
      <c r="D297" s="43">
        <v>1004</v>
      </c>
      <c r="E297" s="43" t="s">
        <v>245</v>
      </c>
      <c r="F297" s="42"/>
      <c r="G297" s="42"/>
      <c r="H297" s="62">
        <f>H298</f>
        <v>6793.099999999999</v>
      </c>
      <c r="I297"/>
    </row>
    <row r="298" spans="1:9" ht="12.75">
      <c r="A298" s="9" t="s">
        <v>155</v>
      </c>
      <c r="B298" s="10" t="s">
        <v>100</v>
      </c>
      <c r="C298" s="29">
        <v>966</v>
      </c>
      <c r="D298" s="9">
        <v>1004</v>
      </c>
      <c r="E298" s="9" t="s">
        <v>245</v>
      </c>
      <c r="F298" s="29">
        <v>300</v>
      </c>
      <c r="G298" s="29"/>
      <c r="H298" s="25">
        <f>H299</f>
        <v>6793.099999999999</v>
      </c>
      <c r="I298"/>
    </row>
    <row r="299" spans="1:9" ht="13.5" thickBot="1">
      <c r="A299" s="9"/>
      <c r="B299" s="35" t="s">
        <v>102</v>
      </c>
      <c r="C299" s="29">
        <v>966</v>
      </c>
      <c r="D299" s="9">
        <v>1004</v>
      </c>
      <c r="E299" s="9" t="s">
        <v>245</v>
      </c>
      <c r="F299" s="29">
        <v>310</v>
      </c>
      <c r="G299" s="29"/>
      <c r="H299" s="25">
        <f>H300</f>
        <v>6793.099999999999</v>
      </c>
      <c r="I299"/>
    </row>
    <row r="300" spans="1:9" ht="23.25" hidden="1" thickBot="1">
      <c r="A300" s="9"/>
      <c r="B300" s="35" t="s">
        <v>200</v>
      </c>
      <c r="C300" s="29">
        <v>966</v>
      </c>
      <c r="D300" s="9">
        <v>1004</v>
      </c>
      <c r="E300" s="9" t="s">
        <v>245</v>
      </c>
      <c r="F300" s="29">
        <v>313</v>
      </c>
      <c r="G300" s="29">
        <v>262</v>
      </c>
      <c r="H300" s="25">
        <f>5915.9+695.3+181.9</f>
        <v>6793.099999999999</v>
      </c>
      <c r="I300"/>
    </row>
    <row r="301" spans="1:9" ht="45.75" thickBot="1">
      <c r="A301" s="40" t="s">
        <v>156</v>
      </c>
      <c r="B301" s="41" t="s">
        <v>125</v>
      </c>
      <c r="C301" s="42">
        <v>966</v>
      </c>
      <c r="D301" s="43">
        <v>1004</v>
      </c>
      <c r="E301" s="43" t="s">
        <v>246</v>
      </c>
      <c r="F301" s="42"/>
      <c r="G301" s="42"/>
      <c r="H301" s="62">
        <f>H304</f>
        <v>2588.6</v>
      </c>
      <c r="I301"/>
    </row>
    <row r="302" spans="1:9" ht="12.75">
      <c r="A302" s="9" t="s">
        <v>157</v>
      </c>
      <c r="B302" s="10" t="s">
        <v>100</v>
      </c>
      <c r="C302" s="29">
        <v>966</v>
      </c>
      <c r="D302" s="9">
        <v>1004</v>
      </c>
      <c r="E302" s="9" t="s">
        <v>246</v>
      </c>
      <c r="F302" s="29">
        <v>300</v>
      </c>
      <c r="G302" s="29"/>
      <c r="H302" s="25">
        <f>H304</f>
        <v>2588.6</v>
      </c>
      <c r="I302"/>
    </row>
    <row r="303" spans="1:9" ht="23.25" customHeight="1" thickBot="1">
      <c r="A303" s="9"/>
      <c r="B303" s="35" t="s">
        <v>417</v>
      </c>
      <c r="C303" s="29">
        <v>966</v>
      </c>
      <c r="D303" s="9">
        <v>1004</v>
      </c>
      <c r="E303" s="9" t="s">
        <v>246</v>
      </c>
      <c r="F303" s="29">
        <v>320</v>
      </c>
      <c r="G303" s="29"/>
      <c r="H303" s="25">
        <f>H304</f>
        <v>2588.6</v>
      </c>
      <c r="I303"/>
    </row>
    <row r="304" spans="1:9" ht="13.5" customHeight="1" hidden="1">
      <c r="A304" s="9"/>
      <c r="B304" s="105" t="s">
        <v>110</v>
      </c>
      <c r="C304" s="29">
        <v>966</v>
      </c>
      <c r="D304" s="9">
        <v>1004</v>
      </c>
      <c r="E304" s="9" t="s">
        <v>246</v>
      </c>
      <c r="F304" s="29">
        <v>323</v>
      </c>
      <c r="G304" s="29"/>
      <c r="H304" s="25">
        <f>H305</f>
        <v>2588.6</v>
      </c>
      <c r="I304"/>
    </row>
    <row r="305" spans="1:9" ht="23.25" hidden="1" thickBot="1">
      <c r="A305" s="9"/>
      <c r="B305" s="33" t="s">
        <v>200</v>
      </c>
      <c r="C305" s="29">
        <v>966</v>
      </c>
      <c r="D305" s="9">
        <v>1004</v>
      </c>
      <c r="E305" s="9" t="s">
        <v>246</v>
      </c>
      <c r="F305" s="29">
        <v>323</v>
      </c>
      <c r="G305" s="29">
        <v>226</v>
      </c>
      <c r="H305" s="25">
        <f>3333.7-325.4-419.7</f>
        <v>2588.6</v>
      </c>
      <c r="I305"/>
    </row>
    <row r="306" spans="1:9" ht="12.75">
      <c r="A306" s="94" t="s">
        <v>158</v>
      </c>
      <c r="B306" s="95" t="s">
        <v>67</v>
      </c>
      <c r="C306" s="96">
        <v>966</v>
      </c>
      <c r="D306" s="97">
        <v>1100</v>
      </c>
      <c r="E306" s="97"/>
      <c r="F306" s="96"/>
      <c r="G306" s="96"/>
      <c r="H306" s="98">
        <f>H312+H307</f>
        <v>2080</v>
      </c>
      <c r="I306"/>
    </row>
    <row r="307" spans="1:9" ht="12.75">
      <c r="A307" s="99" t="s">
        <v>63</v>
      </c>
      <c r="B307" s="100" t="s">
        <v>420</v>
      </c>
      <c r="C307" s="101">
        <v>966</v>
      </c>
      <c r="D307" s="99" t="s">
        <v>419</v>
      </c>
      <c r="E307" s="99"/>
      <c r="F307" s="101"/>
      <c r="G307" s="101"/>
      <c r="H307" s="102">
        <f>H308</f>
        <v>440</v>
      </c>
      <c r="I307"/>
    </row>
    <row r="308" spans="1:9" ht="90">
      <c r="A308" s="86" t="s">
        <v>65</v>
      </c>
      <c r="B308" s="87" t="s">
        <v>127</v>
      </c>
      <c r="C308" s="88">
        <v>966</v>
      </c>
      <c r="D308" s="86" t="s">
        <v>419</v>
      </c>
      <c r="E308" s="86" t="s">
        <v>248</v>
      </c>
      <c r="F308" s="88"/>
      <c r="G308" s="88"/>
      <c r="H308" s="89">
        <f>H309</f>
        <v>440</v>
      </c>
      <c r="I308"/>
    </row>
    <row r="309" spans="1:9" ht="22.5">
      <c r="A309" s="17" t="s">
        <v>159</v>
      </c>
      <c r="B309" s="35" t="s">
        <v>24</v>
      </c>
      <c r="C309" s="23">
        <v>966</v>
      </c>
      <c r="D309" s="17" t="s">
        <v>419</v>
      </c>
      <c r="E309" s="1" t="s">
        <v>248</v>
      </c>
      <c r="F309" s="23">
        <v>200</v>
      </c>
      <c r="G309" s="23"/>
      <c r="H309" s="26">
        <f>H310</f>
        <v>440</v>
      </c>
      <c r="I309"/>
    </row>
    <row r="310" spans="1:9" ht="22.5">
      <c r="A310" s="17"/>
      <c r="B310" s="5" t="s">
        <v>108</v>
      </c>
      <c r="C310" s="23">
        <v>966</v>
      </c>
      <c r="D310" s="17" t="s">
        <v>419</v>
      </c>
      <c r="E310" s="1" t="s">
        <v>248</v>
      </c>
      <c r="F310" s="23">
        <v>240</v>
      </c>
      <c r="G310" s="23"/>
      <c r="H310" s="26">
        <f>H311</f>
        <v>440</v>
      </c>
      <c r="I310"/>
    </row>
    <row r="311" spans="1:13" ht="22.5" hidden="1">
      <c r="A311" s="17"/>
      <c r="B311" s="33" t="s">
        <v>199</v>
      </c>
      <c r="C311" s="23">
        <v>966</v>
      </c>
      <c r="D311" s="17" t="s">
        <v>419</v>
      </c>
      <c r="E311" s="1" t="s">
        <v>248</v>
      </c>
      <c r="F311" s="23">
        <v>244</v>
      </c>
      <c r="G311" s="23"/>
      <c r="H311" s="26">
        <v>440</v>
      </c>
      <c r="I311"/>
      <c r="M311">
        <v>40</v>
      </c>
    </row>
    <row r="312" spans="1:9" ht="12.75">
      <c r="A312" s="99" t="s">
        <v>298</v>
      </c>
      <c r="B312" s="100" t="s">
        <v>69</v>
      </c>
      <c r="C312" s="101">
        <v>966</v>
      </c>
      <c r="D312" s="99">
        <v>1102</v>
      </c>
      <c r="E312" s="99"/>
      <c r="F312" s="101"/>
      <c r="G312" s="101"/>
      <c r="H312" s="102">
        <f>H313</f>
        <v>1640</v>
      </c>
      <c r="I312"/>
    </row>
    <row r="313" spans="1:9" ht="90">
      <c r="A313" s="86" t="s">
        <v>428</v>
      </c>
      <c r="B313" s="87" t="s">
        <v>127</v>
      </c>
      <c r="C313" s="88">
        <v>966</v>
      </c>
      <c r="D313" s="86">
        <v>1102</v>
      </c>
      <c r="E313" s="86" t="s">
        <v>248</v>
      </c>
      <c r="F313" s="88"/>
      <c r="G313" s="88"/>
      <c r="H313" s="89">
        <f>H314</f>
        <v>1640</v>
      </c>
      <c r="I313"/>
    </row>
    <row r="314" spans="1:9" ht="22.5">
      <c r="A314" s="17" t="s">
        <v>429</v>
      </c>
      <c r="B314" s="35" t="s">
        <v>24</v>
      </c>
      <c r="C314" s="23">
        <v>966</v>
      </c>
      <c r="D314" s="17">
        <v>1102</v>
      </c>
      <c r="E314" s="1" t="s">
        <v>248</v>
      </c>
      <c r="F314" s="23">
        <v>200</v>
      </c>
      <c r="G314" s="23"/>
      <c r="H314" s="26">
        <f>H315</f>
        <v>1640</v>
      </c>
      <c r="I314"/>
    </row>
    <row r="315" spans="1:9" ht="22.5">
      <c r="A315" s="17"/>
      <c r="B315" s="5" t="s">
        <v>108</v>
      </c>
      <c r="C315" s="23">
        <v>966</v>
      </c>
      <c r="D315" s="17">
        <v>1102</v>
      </c>
      <c r="E315" s="1" t="s">
        <v>248</v>
      </c>
      <c r="F315" s="23">
        <v>240</v>
      </c>
      <c r="G315" s="23"/>
      <c r="H315" s="26">
        <f>H316</f>
        <v>1640</v>
      </c>
      <c r="I315"/>
    </row>
    <row r="316" spans="1:9" ht="22.5" hidden="1">
      <c r="A316" s="17"/>
      <c r="B316" s="33" t="s">
        <v>199</v>
      </c>
      <c r="C316" s="23">
        <v>966</v>
      </c>
      <c r="D316" s="17">
        <v>1102</v>
      </c>
      <c r="E316" s="1" t="s">
        <v>248</v>
      </c>
      <c r="F316" s="23">
        <v>244</v>
      </c>
      <c r="G316" s="23"/>
      <c r="H316" s="26">
        <v>1640</v>
      </c>
      <c r="I316"/>
    </row>
    <row r="317" spans="1:13" ht="12.75" hidden="1">
      <c r="A317" s="17"/>
      <c r="B317" s="5" t="s">
        <v>203</v>
      </c>
      <c r="C317" s="23">
        <v>966</v>
      </c>
      <c r="D317" s="17">
        <v>1102</v>
      </c>
      <c r="E317" s="1" t="s">
        <v>248</v>
      </c>
      <c r="F317" s="23">
        <v>244</v>
      </c>
      <c r="G317" s="23">
        <v>290</v>
      </c>
      <c r="H317" s="26">
        <v>1640</v>
      </c>
      <c r="I317"/>
      <c r="L317">
        <v>400</v>
      </c>
      <c r="M317">
        <v>1040</v>
      </c>
    </row>
    <row r="318" spans="1:9" ht="12.75">
      <c r="A318" s="90" t="s">
        <v>160</v>
      </c>
      <c r="B318" s="91" t="s">
        <v>72</v>
      </c>
      <c r="C318" s="92">
        <v>966</v>
      </c>
      <c r="D318" s="90">
        <v>1200</v>
      </c>
      <c r="E318" s="90"/>
      <c r="F318" s="92"/>
      <c r="G318" s="92"/>
      <c r="H318" s="93">
        <f>H319</f>
        <v>1649.2</v>
      </c>
      <c r="I318"/>
    </row>
    <row r="319" spans="1:9" ht="12.75">
      <c r="A319" s="99" t="s">
        <v>68</v>
      </c>
      <c r="B319" s="100" t="s">
        <v>73</v>
      </c>
      <c r="C319" s="101">
        <v>966</v>
      </c>
      <c r="D319" s="99">
        <v>1202</v>
      </c>
      <c r="E319" s="99"/>
      <c r="F319" s="101"/>
      <c r="G319" s="101"/>
      <c r="H319" s="102">
        <f>H320</f>
        <v>1649.2</v>
      </c>
      <c r="I319"/>
    </row>
    <row r="320" spans="1:9" ht="112.5">
      <c r="A320" s="86" t="s">
        <v>70</v>
      </c>
      <c r="B320" s="87" t="s">
        <v>111</v>
      </c>
      <c r="C320" s="88">
        <v>966</v>
      </c>
      <c r="D320" s="86">
        <v>1202</v>
      </c>
      <c r="E320" s="86" t="s">
        <v>191</v>
      </c>
      <c r="F320" s="88"/>
      <c r="G320" s="88"/>
      <c r="H320" s="89">
        <f>H321</f>
        <v>1649.2</v>
      </c>
      <c r="I320"/>
    </row>
    <row r="321" spans="1:9" ht="22.5">
      <c r="A321" s="17" t="s">
        <v>71</v>
      </c>
      <c r="B321" s="35" t="s">
        <v>24</v>
      </c>
      <c r="C321" s="23">
        <v>966</v>
      </c>
      <c r="D321" s="17">
        <v>1202</v>
      </c>
      <c r="E321" s="1" t="s">
        <v>191</v>
      </c>
      <c r="F321" s="23">
        <v>200</v>
      </c>
      <c r="G321" s="23"/>
      <c r="H321" s="26">
        <f>H322</f>
        <v>1649.2</v>
      </c>
      <c r="I321"/>
    </row>
    <row r="322" spans="1:9" ht="22.5">
      <c r="A322" s="17"/>
      <c r="B322" s="5" t="s">
        <v>108</v>
      </c>
      <c r="C322" s="23">
        <v>966</v>
      </c>
      <c r="D322" s="17">
        <v>1202</v>
      </c>
      <c r="E322" s="1" t="s">
        <v>191</v>
      </c>
      <c r="F322" s="23">
        <v>240</v>
      </c>
      <c r="G322" s="23"/>
      <c r="H322" s="26">
        <f>H323-1.2</f>
        <v>1649.2</v>
      </c>
      <c r="I322"/>
    </row>
    <row r="323" spans="1:9" ht="22.5" hidden="1">
      <c r="A323" s="17"/>
      <c r="B323" s="33" t="s">
        <v>199</v>
      </c>
      <c r="C323" s="23">
        <v>966</v>
      </c>
      <c r="D323" s="17">
        <v>1202</v>
      </c>
      <c r="E323" s="1" t="s">
        <v>191</v>
      </c>
      <c r="F323" s="23">
        <v>244</v>
      </c>
      <c r="G323" s="23"/>
      <c r="H323" s="26">
        <f>H324+H325</f>
        <v>1650.4</v>
      </c>
      <c r="I323"/>
    </row>
    <row r="324" spans="1:9" ht="12.75" hidden="1">
      <c r="A324" s="17"/>
      <c r="B324" s="5" t="s">
        <v>208</v>
      </c>
      <c r="C324" s="23">
        <v>966</v>
      </c>
      <c r="D324" s="17">
        <v>1202</v>
      </c>
      <c r="E324" s="1" t="s">
        <v>191</v>
      </c>
      <c r="F324" s="23">
        <v>244</v>
      </c>
      <c r="G324" s="23">
        <v>226</v>
      </c>
      <c r="H324" s="26">
        <v>145.1</v>
      </c>
      <c r="I324"/>
    </row>
    <row r="325" spans="1:9" ht="12.75" hidden="1">
      <c r="A325" s="17"/>
      <c r="B325" s="5" t="s">
        <v>217</v>
      </c>
      <c r="C325" s="23">
        <v>966</v>
      </c>
      <c r="D325" s="17">
        <v>1202</v>
      </c>
      <c r="E325" s="1" t="s">
        <v>191</v>
      </c>
      <c r="F325" s="23">
        <v>244</v>
      </c>
      <c r="G325" s="23">
        <v>340</v>
      </c>
      <c r="H325" s="26">
        <f>2854.9-490-859.6</f>
        <v>1505.3000000000002</v>
      </c>
      <c r="I325" t="s">
        <v>251</v>
      </c>
    </row>
    <row r="326" spans="1:12" ht="12.75">
      <c r="A326" s="30"/>
      <c r="B326" s="31" t="s">
        <v>74</v>
      </c>
      <c r="C326" s="32"/>
      <c r="D326" s="32"/>
      <c r="E326" s="60"/>
      <c r="F326" s="32"/>
      <c r="G326" s="32"/>
      <c r="H326" s="39">
        <f>H51+H12</f>
        <v>115592.42</v>
      </c>
      <c r="I326"/>
      <c r="L326">
        <f>SUM(L12:L325)</f>
        <v>86.5</v>
      </c>
    </row>
    <row r="327" ht="12.75">
      <c r="N327" s="182" t="e">
        <f>H326-#REF!</f>
        <v>#REF!</v>
      </c>
    </row>
  </sheetData>
  <sheetProtection/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paramonov.v</cp:lastModifiedBy>
  <cp:lastPrinted>2017-03-28T12:55:14Z</cp:lastPrinted>
  <dcterms:created xsi:type="dcterms:W3CDTF">2015-01-16T07:52:13Z</dcterms:created>
  <dcterms:modified xsi:type="dcterms:W3CDTF">2017-06-07T11:45:08Z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