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Прил 1 " sheetId="1" r:id="rId1"/>
    <sheet name="Прил 2" sheetId="2" r:id="rId2"/>
    <sheet name="Прил 3 " sheetId="3" r:id="rId3"/>
    <sheet name="Прил 4 " sheetId="4" r:id="rId4"/>
  </sheets>
  <definedNames/>
  <calcPr fullCalcOnLoad="1"/>
</workbook>
</file>

<file path=xl/sharedStrings.xml><?xml version="1.0" encoding="utf-8"?>
<sst xmlns="http://schemas.openxmlformats.org/spreadsheetml/2006/main" count="1854" uniqueCount="533">
  <si>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</si>
  <si>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</si>
  <si>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</si>
  <si>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</si>
  <si>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</si>
  <si>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</si>
  <si>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</si>
  <si>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</si>
  <si>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</si>
  <si>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</si>
  <si>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</si>
  <si>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</si>
  <si>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</si>
  <si>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</si>
  <si>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</si>
  <si>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</si>
  <si>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</si>
  <si>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</si>
  <si>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</si>
  <si>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</si>
  <si>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</si>
  <si>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</si>
  <si>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</si>
  <si>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</si>
  <si>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</si>
  <si>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</si>
  <si>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</si>
  <si>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</si>
  <si>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</si>
  <si>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</si>
  <si>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</si>
  <si>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</si>
  <si>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</si>
  <si>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</si>
  <si>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</si>
  <si>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</si>
  <si>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</si>
  <si>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</si>
  <si>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</si>
  <si>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</si>
  <si>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</si>
  <si>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</si>
  <si>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</si>
  <si>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</si>
  <si>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</si>
  <si>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</si>
  <si>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</si>
  <si>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</si>
  <si>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</si>
  <si>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</si>
  <si>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</si>
  <si>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</si>
  <si>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</si>
  <si>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</si>
  <si>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</si>
  <si>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</si>
  <si>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</si>
  <si>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</si>
  <si>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</si>
  <si>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</si>
  <si>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</si>
  <si>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</si>
  <si>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</si>
  <si>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</si>
  <si>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</si>
  <si>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</si>
  <si>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</si>
  <si>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</si>
  <si>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</si>
  <si>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</si>
  <si>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</si>
  <si>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</si>
  <si>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</si>
  <si>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</si>
  <si>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</si>
  <si>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</si>
  <si>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</si>
  <si>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</si>
  <si>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</si>
  <si>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</si>
  <si>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</si>
  <si>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</si>
  <si>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</si>
  <si>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</si>
  <si>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</si>
  <si>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</si>
  <si>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</si>
  <si>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</si>
  <si>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</si>
  <si>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</si>
  <si>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</si>
  <si>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</si>
  <si>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</si>
  <si>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</si>
  <si>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</si>
  <si>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</si>
  <si>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</si>
  <si>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</si>
  <si>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</si>
  <si>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</si>
  <si>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</si>
  <si>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</si>
  <si>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</si>
  <si>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</si>
  <si>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</si>
  <si>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</si>
  <si>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</si>
  <si>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</si>
  <si>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</si>
  <si>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</si>
  <si>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</si>
  <si>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</si>
  <si>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</si>
  <si>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</si>
  <si>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</si>
  <si>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</si>
  <si>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</si>
  <si>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</si>
  <si>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</si>
  <si>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</si>
  <si>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</si>
  <si>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</si>
  <si>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</si>
  <si>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</si>
  <si>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</si>
  <si>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</si>
  <si>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</si>
  <si>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</si>
  <si>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</si>
  <si>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</si>
  <si>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</si>
  <si>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</si>
  <si>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</si>
  <si>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</si>
  <si>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</si>
  <si>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</si>
  <si>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</si>
  <si>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</si>
  <si>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</si>
  <si>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</si>
  <si>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</si>
  <si>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</si>
  <si>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</si>
  <si>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</si>
  <si>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</si>
  <si>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</si>
  <si>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</si>
  <si>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</si>
  <si>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</si>
  <si>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</si>
  <si>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</si>
  <si>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</si>
  <si>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</si>
  <si>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</si>
  <si>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</si>
  <si>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</si>
  <si>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</si>
  <si>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</si>
  <si>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</si>
  <si>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</si>
  <si>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</si>
  <si>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</si>
  <si>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</si>
  <si>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</si>
  <si>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</si>
  <si>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</si>
  <si>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</si>
  <si>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</si>
  <si>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</si>
  <si>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</si>
  <si>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</si>
  <si>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</si>
  <si>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</si>
  <si>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</si>
  <si>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</si>
  <si>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</si>
  <si>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</si>
  <si>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</si>
  <si>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</si>
  <si>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</si>
  <si>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</si>
  <si>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</si>
  <si>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</si>
  <si>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</si>
  <si>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</si>
  <si>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</si>
  <si>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</si>
  <si>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</si>
  <si>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</si>
  <si>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</si>
  <si>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</si>
  <si>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</si>
  <si>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</si>
  <si>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</si>
  <si>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</si>
  <si>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</si>
  <si>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</si>
  <si>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</si>
  <si>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</si>
  <si>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</si>
  <si>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</si>
  <si>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</si>
  <si>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</si>
  <si>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</si>
  <si>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</si>
  <si>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</si>
  <si>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</si>
  <si>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</si>
  <si>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</si>
  <si>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</si>
  <si>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</si>
  <si>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</si>
  <si>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</si>
  <si>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</si>
  <si>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</si>
  <si>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</si>
  <si>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</si>
  <si>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</si>
  <si>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</si>
  <si>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</si>
  <si>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</si>
  <si>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</si>
  <si>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</si>
  <si>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</si>
  <si>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</si>
  <si>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</si>
  <si>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</si>
  <si>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</si>
  <si>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</si>
  <si>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БЮДЖЕТА ВНУТРИГОРОДСКОГО МУНИЦИПАЛЬНОГО ОБРАЗОВАНИЯ САНКТ-ПЕТЕРБУРГА </t>
  </si>
  <si>
    <t>МУНИЦИПАЛЬНЫЙ ОКРУГ ЧЕРНАЯ РЕЧКА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</si>
  <si>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</si>
  <si>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</si>
  <si>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</si>
  <si>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</si>
  <si>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</si>
  <si>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</si>
  <si>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</si>
  <si>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</si>
  <si>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</si>
  <si>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</si>
  <si>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</si>
  <si>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</si>
  <si>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>6000000135</t>
  </si>
  <si>
    <t xml:space="preserve">Фонд оплаты труда учреждений
</t>
  </si>
  <si>
    <t>3300000073</t>
  </si>
  <si>
    <t>4.1.8.1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</si>
  <si>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</si>
  <si>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</si>
  <si>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</si>
  <si>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</si>
  <si>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</si>
  <si>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</si>
  <si>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</si>
  <si>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 xml:space="preserve">Финансирование непредвиденных расходов из средств резервного фонда на проведение аварийно-восстановительных работ в области благоустройства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</si>
  <si>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</si>
  <si>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</si>
  <si>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</si>
  <si>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</si>
  <si>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</si>
  <si>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</si>
  <si>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</si>
  <si>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</si>
  <si>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</si>
  <si>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</si>
  <si>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</si>
  <si>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</si>
  <si>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</si>
  <si>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</si>
  <si>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</si>
  <si>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</si>
  <si>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</si>
  <si>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</si>
  <si>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</si>
  <si>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</si>
  <si>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966 2 02 03024 03 0100 151</t>
  </si>
  <si>
    <t>Прочие субсидии бюджетам внутригородских муниципальных образований городов федерального значения</t>
  </si>
  <si>
    <t>966 2 02 02999 03 0000 151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</si>
  <si>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</si>
  <si>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</si>
  <si>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</si>
  <si>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</si>
  <si>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</si>
  <si>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</si>
  <si>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</si>
  <si>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</si>
  <si>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</si>
  <si>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</si>
  <si>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8.2.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</si>
  <si>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</si>
  <si>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</si>
  <si>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</si>
  <si>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</si>
  <si>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</si>
  <si>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</si>
  <si>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</si>
  <si>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</si>
  <si>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</si>
  <si>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</si>
  <si>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</si>
  <si>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</si>
  <si>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</si>
  <si>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</si>
  <si>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</si>
  <si>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</si>
  <si>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</si>
  <si>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</si>
  <si>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</si>
  <si>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</si>
  <si>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</si>
  <si>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</si>
  <si>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</si>
  <si>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</si>
  <si>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</si>
  <si>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</si>
  <si>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</si>
  <si>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</si>
  <si>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</si>
  <si>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</si>
  <si>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</si>
  <si>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</si>
  <si>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</si>
  <si>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6.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</si>
  <si>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</si>
  <si>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</si>
  <si>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</si>
  <si>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</si>
  <si>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</si>
  <si>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</si>
  <si>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</si>
  <si>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</si>
  <si>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</si>
  <si>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</si>
  <si>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</si>
  <si>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</si>
  <si>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</si>
  <si>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</si>
  <si>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</si>
  <si>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</si>
  <si>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</si>
  <si>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</si>
  <si>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</si>
  <si>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</si>
  <si>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</si>
  <si>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</si>
  <si>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</si>
  <si>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</si>
  <si>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</si>
  <si>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4.2.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</si>
  <si>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</si>
  <si>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</si>
  <si>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</si>
  <si>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</si>
  <si>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</si>
  <si>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</si>
  <si>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</si>
  <si>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</si>
  <si>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</si>
  <si>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</si>
  <si>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</si>
  <si>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</si>
  <si>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</si>
  <si>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</si>
  <si>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</si>
  <si>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</si>
  <si>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</si>
  <si>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</si>
  <si>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</si>
  <si>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</si>
  <si>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</si>
  <si>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</si>
  <si>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</si>
  <si>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</si>
  <si>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</si>
  <si>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</si>
  <si>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</si>
  <si>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</si>
  <si>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</si>
  <si>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</si>
  <si>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</si>
  <si>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</si>
  <si>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</si>
  <si>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</si>
  <si>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</si>
  <si>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</si>
  <si>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</si>
  <si>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</si>
  <si>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</si>
  <si>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</si>
  <si>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</si>
  <si>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</si>
  <si>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</si>
  <si>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</si>
  <si>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>Источники доходов</t>
  </si>
  <si>
    <t>Код статьи</t>
  </si>
  <si>
    <t>№ п/п</t>
  </si>
  <si>
    <t>Приложение 1</t>
  </si>
  <si>
    <t>Иные выплаты персоналу учреждений, за исключением фонда
оплаты труда</t>
  </si>
  <si>
    <t>1101</t>
  </si>
  <si>
    <t>Физическая культура</t>
  </si>
  <si>
    <t>2.3.5.1</t>
  </si>
  <si>
    <t>4.1.7</t>
  </si>
  <si>
    <t>4.1.7.1</t>
  </si>
  <si>
    <t>4.1.7.2.</t>
  </si>
  <si>
    <t>4.1.8.</t>
  </si>
  <si>
    <t>8.2.1.</t>
  </si>
  <si>
    <t>8.2.1.1.</t>
  </si>
  <si>
    <t>Код бюджетной классификации Российской Федерации</t>
  </si>
  <si>
    <t>Наименование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</si>
  <si>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</si>
  <si>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</si>
  <si>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</si>
  <si>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</si>
  <si>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</si>
  <si>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</si>
  <si>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</si>
  <si>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</si>
  <si>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</si>
  <si>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</si>
  <si>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</si>
  <si>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</si>
  <si>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</si>
  <si>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</si>
  <si>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</si>
  <si>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</si>
  <si>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</si>
  <si>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</si>
  <si>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Социальное обеспечение и иные выплаты населению</t>
  </si>
  <si>
    <t>Код администратора источника внутреннего финансирования дефицита бюджета</t>
  </si>
  <si>
    <t>План, тыс.руб.</t>
  </si>
  <si>
    <t>Исполнение тыс.руб.</t>
  </si>
  <si>
    <t>% исполнения</t>
  </si>
  <si>
    <t xml:space="preserve">ПОКАЗАТЕЛИ ПО ДОХОДАМ </t>
  </si>
  <si>
    <t>внутригородского муниципальньго образования Санкт-Петербурга</t>
  </si>
  <si>
    <t>-</t>
  </si>
  <si>
    <t>2.2.2.</t>
  </si>
  <si>
    <t>2.2.2.1.</t>
  </si>
  <si>
    <t>2.2.3.</t>
  </si>
  <si>
    <t>2.2.3.1.</t>
  </si>
  <si>
    <t>2.2.4.</t>
  </si>
  <si>
    <t>2.2.4.1.</t>
  </si>
  <si>
    <t>2.2.5.</t>
  </si>
  <si>
    <t>2.2.5.1</t>
  </si>
  <si>
    <t>2.2.6.</t>
  </si>
  <si>
    <t>2.2.6.1</t>
  </si>
  <si>
    <t>2.2.7.</t>
  </si>
  <si>
    <t>2.2.7.1</t>
  </si>
  <si>
    <t>2.2.8.</t>
  </si>
  <si>
    <t xml:space="preserve">2.2.8.1. </t>
  </si>
  <si>
    <t>2.2.9.</t>
  </si>
  <si>
    <t>2.2.9.1</t>
  </si>
  <si>
    <r>
      <t xml:space="preserve">         </t>
    </r>
    <r>
      <rPr>
        <b/>
        <sz val="10"/>
        <rFont val="Times New Roman"/>
        <family val="1"/>
      </rPr>
      <t xml:space="preserve">               ПО ВЕДОМСТВЕННОЙ СТРУКТУРЕ РАСХОДОВ </t>
    </r>
  </si>
  <si>
    <t xml:space="preserve">ПОКАЗАТЕЛИ ПО РАСХОДАМ БЮДЖЕТА ВНУТРИГОРОДСКОГО МУНИЦИПАЛЬНОГО ОБРАЗОВАНИЯ </t>
  </si>
  <si>
    <t xml:space="preserve"> МУНИЦИПАЛЬНОГО ОБРАЗОВАНИЯ САНКТ-ПЕТЕРБУРГА МУНИЦИПАЛЬНЫЙ ОКРУГ </t>
  </si>
  <si>
    <t>Раздел</t>
  </si>
  <si>
    <t>Подраздел</t>
  </si>
  <si>
    <t>00</t>
  </si>
  <si>
    <t>02</t>
  </si>
  <si>
    <t>03</t>
  </si>
  <si>
    <t>04</t>
  </si>
  <si>
    <t>13</t>
  </si>
  <si>
    <t xml:space="preserve"> Плановая сумма, тыс. руб.</t>
  </si>
  <si>
    <t>Исполненная сумма тыс.руб.</t>
  </si>
  <si>
    <t>%      исполнения</t>
  </si>
  <si>
    <t>% Исполнения</t>
  </si>
  <si>
    <t>05</t>
  </si>
  <si>
    <t>07</t>
  </si>
  <si>
    <t>08</t>
  </si>
  <si>
    <t>10</t>
  </si>
  <si>
    <t>09</t>
  </si>
  <si>
    <t>01</t>
  </si>
  <si>
    <t xml:space="preserve">ПОКАЗАТЕЛИ ПО РАСХОДАМ БЮДЖЕТА ВНУТРИГОРОДСКОГО МУНИЦИПАЛЬНОГО </t>
  </si>
  <si>
    <t xml:space="preserve">ОБРАЗОВАНИЯ САНКТ-ПЕТЕРБУРГА МУНИЦИПАЛЬНЫЙ ОКРУГ </t>
  </si>
  <si>
    <t>Плановая сумма тыс.руб</t>
  </si>
  <si>
    <t>Исполненная сумма тыс.руб</t>
  </si>
  <si>
    <t>Приложение № 3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</si>
  <si>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</si>
  <si>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3.2.</t>
  </si>
  <si>
    <t>3.3.</t>
  </si>
  <si>
    <t>3.4.</t>
  </si>
  <si>
    <t>5.1.2</t>
  </si>
  <si>
    <t>6.2.</t>
  </si>
  <si>
    <t>6.2.1.</t>
  </si>
  <si>
    <t>1</t>
  </si>
  <si>
    <t>2</t>
  </si>
  <si>
    <t>11</t>
  </si>
  <si>
    <t>"Об утверждении отчета об исполнении бюджета внутригородского муниципального образования Санкт-петербурга муниципальный округ Черная речка за 2017 год"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</si>
  <si>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</si>
  <si>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</si>
  <si>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7100000100</t>
  </si>
  <si>
    <t>Муниципальная программа «Формирование архивных фондов органов местного самоуправления Муниципального образования 
Муниципальный округ Черная речка»</t>
  </si>
  <si>
    <t>7200000100</t>
  </si>
  <si>
    <t>7300000100</t>
  </si>
  <si>
    <t>7400000100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</si>
  <si>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</si>
  <si>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</si>
  <si>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7600000100</t>
  </si>
  <si>
    <t>7700000100</t>
  </si>
  <si>
    <t xml:space="preserve">2.3.7.1. </t>
  </si>
  <si>
    <t>2.3.8.1</t>
  </si>
  <si>
    <t>2.3.8.2</t>
  </si>
  <si>
    <t>4.1.1.2</t>
  </si>
  <si>
    <t>6100000100</t>
  </si>
  <si>
    <t>6200000100</t>
  </si>
  <si>
    <t>6300000100</t>
  </si>
  <si>
    <t>4.1.5.2.</t>
  </si>
  <si>
    <t>6400000100</t>
  </si>
  <si>
    <t>6500000100</t>
  </si>
  <si>
    <t>4.1.7.3.</t>
  </si>
  <si>
    <t>4.1.8.1.</t>
  </si>
  <si>
    <t>8000000100</t>
  </si>
  <si>
    <t>Стипендия</t>
  </si>
  <si>
    <t>4100000100</t>
  </si>
  <si>
    <t>4200000100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</si>
  <si>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</si>
  <si>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</si>
  <si>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Физическая культура </t>
  </si>
  <si>
    <t>1.2.2.1</t>
  </si>
  <si>
    <t>5.1.1.2.</t>
  </si>
  <si>
    <t>1.1.1.1.</t>
  </si>
  <si>
    <t>1.2.1.1.</t>
  </si>
  <si>
    <t>ПО КОДАМ КЛАССИФИКАЦИИ ДОХОДОВ БЮДЖЕТА НА 2017 ГОД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</si>
  <si>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2017 ГОД</t>
  </si>
  <si>
    <t>ЧЕРНАЯ РЕЧКА НА 2017 ГОД</t>
  </si>
  <si>
    <t>"Об утверждении отчета об  исполнении бюджета внутригородского муниципального образования                                                                                                                Санкт-петербурга муниципальный округ Черная речка за 2017 год"</t>
  </si>
  <si>
    <t>824 1 16 90030 03 0100 140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</si>
  <si>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Санкт-Петербурга</t>
  </si>
  <si>
    <t>966 1 16 90030 03 0400 140</t>
  </si>
  <si>
    <t xml:space="preserve">к Решению Муниципального Совета </t>
  </si>
  <si>
    <t>внутригородского муниципального образования Санкт-Петербурга</t>
  </si>
  <si>
    <t>"Об утверждении отчета об исполнении бюджета внутригородского муниципального образования Санкт-Петербурга муниципальный округ Черная речка за 2017 год"</t>
  </si>
  <si>
    <t xml:space="preserve">муниципальный округ Черная речка № 9 от 16.05.2018 г. </t>
  </si>
  <si>
    <t xml:space="preserve">Приложение №4
К Решению Муниципального Совета внутригородского муниципальньго образования Санкт-Петербурга муниципальный округ Черная речка № 9 от 16.05.2018 г.  "Об утверждении отчета об исполнении бюджета внутригородского муниципального образования Санкт-петербурга муниципальный округ Черная речка за 2017 год"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</si>
</sst>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0.00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0_ ;\-#,##0.00\ "/>
    <numFmt numFmtId="191" formatCode="0.000000000"/>
    <numFmt numFmtId="192" formatCode="0.00_ ;\-0.00\ "/>
    <numFmt numFmtId="193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C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5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/>
    </xf>
    <xf numFmtId="0" fontId="5" fillId="0" borderId="0" xfId="53" applyFont="1" applyAlignment="1">
      <alignment horizontal="center"/>
      <protection/>
    </xf>
    <xf numFmtId="0" fontId="4" fillId="34" borderId="12" xfId="0" applyFont="1" applyFill="1" applyBorder="1" applyAlignment="1">
      <alignment horizontal="left" vertical="center" wrapText="1"/>
    </xf>
    <xf numFmtId="49" fontId="12" fillId="35" borderId="18" xfId="0" applyNumberFormat="1" applyFont="1" applyFill="1" applyBorder="1" applyAlignment="1">
      <alignment horizontal="center" vertical="center" wrapText="1"/>
    </xf>
    <xf numFmtId="49" fontId="12" fillId="35" borderId="14" xfId="0" applyNumberFormat="1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center" vertical="center" wrapText="1"/>
    </xf>
    <xf numFmtId="49" fontId="12" fillId="35" borderId="14" xfId="0" applyNumberFormat="1" applyFont="1" applyFill="1" applyBorder="1" applyAlignment="1">
      <alignment horizontal="center" vertical="center" wrapText="1"/>
    </xf>
    <xf numFmtId="176" fontId="12" fillId="35" borderId="1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53" applyFont="1" applyAlignment="1">
      <alignment horizontal="right"/>
      <protection/>
    </xf>
    <xf numFmtId="0" fontId="0" fillId="0" borderId="0" xfId="0" applyAlignment="1">
      <alignment horizontal="right" wrapText="1"/>
    </xf>
    <xf numFmtId="0" fontId="50" fillId="34" borderId="0" xfId="0" applyFont="1" applyFill="1" applyAlignment="1">
      <alignment horizontal="right" wrapText="1"/>
    </xf>
    <xf numFmtId="0" fontId="50" fillId="34" borderId="0" xfId="0" applyFont="1" applyFill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184" fontId="4" fillId="34" borderId="10" xfId="0" applyNumberFormat="1" applyFont="1" applyFill="1" applyBorder="1" applyAlignment="1">
      <alignment horizontal="center" wrapText="1"/>
    </xf>
    <xf numFmtId="0" fontId="4" fillId="34" borderId="1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wrapText="1"/>
      <protection/>
    </xf>
    <xf numFmtId="14" fontId="4" fillId="34" borderId="10" xfId="53" applyNumberFormat="1" applyFont="1" applyFill="1" applyBorder="1" applyAlignment="1">
      <alignment horizontal="center" wrapText="1"/>
      <protection/>
    </xf>
    <xf numFmtId="176" fontId="4" fillId="34" borderId="10" xfId="53" applyNumberFormat="1" applyFont="1" applyFill="1" applyBorder="1" applyAlignment="1">
      <alignment horizontal="center" wrapText="1"/>
      <protection/>
    </xf>
    <xf numFmtId="18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176" fontId="4" fillId="34" borderId="10" xfId="0" applyNumberFormat="1" applyFont="1" applyFill="1" applyBorder="1" applyAlignment="1">
      <alignment horizontal="center" wrapText="1"/>
    </xf>
    <xf numFmtId="176" fontId="51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wrapText="1"/>
    </xf>
    <xf numFmtId="43" fontId="4" fillId="34" borderId="10" xfId="61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189" fontId="4" fillId="34" borderId="10" xfId="61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 wrapText="1"/>
    </xf>
    <xf numFmtId="176" fontId="52" fillId="34" borderId="10" xfId="0" applyNumberFormat="1" applyFont="1" applyFill="1" applyBorder="1" applyAlignment="1">
      <alignment horizontal="center" wrapText="1"/>
    </xf>
    <xf numFmtId="189" fontId="4" fillId="34" borderId="10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184" fontId="4" fillId="34" borderId="10" xfId="0" applyNumberFormat="1" applyFont="1" applyFill="1" applyBorder="1" applyAlignment="1">
      <alignment horizontal="center"/>
    </xf>
    <xf numFmtId="184" fontId="4" fillId="34" borderId="10" xfId="0" applyNumberFormat="1" applyFont="1" applyFill="1" applyBorder="1" applyAlignment="1">
      <alignment horizontal="center" wrapText="1"/>
    </xf>
    <xf numFmtId="0" fontId="4" fillId="34" borderId="1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wrapText="1"/>
      <protection/>
    </xf>
    <xf numFmtId="176" fontId="4" fillId="34" borderId="20" xfId="0" applyNumberFormat="1" applyFont="1" applyFill="1" applyBorder="1" applyAlignment="1">
      <alignment horizontal="center" wrapText="1"/>
    </xf>
    <xf numFmtId="176" fontId="4" fillId="34" borderId="21" xfId="0" applyNumberFormat="1" applyFont="1" applyFill="1" applyBorder="1" applyAlignment="1">
      <alignment horizontal="center" wrapText="1"/>
    </xf>
    <xf numFmtId="176" fontId="3" fillId="34" borderId="10" xfId="53" applyNumberFormat="1" applyFont="1" applyFill="1" applyBorder="1" applyAlignment="1">
      <alignment horizontal="center" wrapText="1"/>
      <protection/>
    </xf>
    <xf numFmtId="0" fontId="4" fillId="36" borderId="10" xfId="53" applyFont="1" applyFill="1" applyBorder="1" applyAlignment="1">
      <alignment horizontal="center" wrapText="1"/>
      <protection/>
    </xf>
    <xf numFmtId="176" fontId="4" fillId="36" borderId="10" xfId="53" applyNumberFormat="1" applyFont="1" applyFill="1" applyBorder="1" applyAlignment="1">
      <alignment horizontal="center" wrapText="1"/>
      <protection/>
    </xf>
    <xf numFmtId="0" fontId="4" fillId="37" borderId="10" xfId="53" applyFont="1" applyFill="1" applyBorder="1" applyAlignment="1">
      <alignment horizontal="center" wrapText="1"/>
      <protection/>
    </xf>
    <xf numFmtId="176" fontId="4" fillId="37" borderId="10" xfId="53" applyNumberFormat="1" applyFont="1" applyFill="1" applyBorder="1" applyAlignment="1">
      <alignment horizontal="center" wrapText="1"/>
      <protection/>
    </xf>
    <xf numFmtId="184" fontId="4" fillId="37" borderId="10" xfId="0" applyNumberFormat="1" applyFont="1" applyFill="1" applyBorder="1" applyAlignment="1">
      <alignment horizontal="center" wrapText="1"/>
    </xf>
    <xf numFmtId="0" fontId="4" fillId="38" borderId="10" xfId="53" applyFont="1" applyFill="1" applyBorder="1" applyAlignment="1">
      <alignment horizontal="center" wrapText="1"/>
      <protection/>
    </xf>
    <xf numFmtId="176" fontId="4" fillId="38" borderId="10" xfId="53" applyNumberFormat="1" applyFont="1" applyFill="1" applyBorder="1" applyAlignment="1">
      <alignment horizontal="center" wrapText="1"/>
      <protection/>
    </xf>
    <xf numFmtId="0" fontId="4" fillId="39" borderId="10" xfId="53" applyFont="1" applyFill="1" applyBorder="1" applyAlignment="1">
      <alignment horizontal="center" wrapText="1"/>
      <protection/>
    </xf>
    <xf numFmtId="176" fontId="4" fillId="39" borderId="10" xfId="53" applyNumberFormat="1" applyFont="1" applyFill="1" applyBorder="1" applyAlignment="1">
      <alignment horizontal="center" wrapText="1"/>
      <protection/>
    </xf>
    <xf numFmtId="184" fontId="4" fillId="39" borderId="10" xfId="0" applyNumberFormat="1" applyFont="1" applyFill="1" applyBorder="1" applyAlignment="1">
      <alignment horizontal="center" wrapText="1"/>
    </xf>
    <xf numFmtId="184" fontId="4" fillId="36" borderId="10" xfId="0" applyNumberFormat="1" applyFont="1" applyFill="1" applyBorder="1" applyAlignment="1">
      <alignment horizontal="center"/>
    </xf>
    <xf numFmtId="184" fontId="4" fillId="37" borderId="10" xfId="0" applyNumberFormat="1" applyFont="1" applyFill="1" applyBorder="1" applyAlignment="1">
      <alignment horizontal="center"/>
    </xf>
    <xf numFmtId="16" fontId="4" fillId="36" borderId="10" xfId="53" applyNumberFormat="1" applyFont="1" applyFill="1" applyBorder="1" applyAlignment="1">
      <alignment horizontal="center" wrapText="1"/>
      <protection/>
    </xf>
    <xf numFmtId="176" fontId="4" fillId="36" borderId="10" xfId="53" applyNumberFormat="1" applyFont="1" applyFill="1" applyBorder="1" applyAlignment="1">
      <alignment horizontal="center" wrapText="1"/>
      <protection/>
    </xf>
    <xf numFmtId="184" fontId="4" fillId="38" borderId="10" xfId="0" applyNumberFormat="1" applyFont="1" applyFill="1" applyBorder="1" applyAlignment="1">
      <alignment horizontal="center"/>
    </xf>
    <xf numFmtId="49" fontId="4" fillId="34" borderId="10" xfId="53" applyNumberFormat="1" applyFont="1" applyFill="1" applyBorder="1" applyAlignment="1">
      <alignment horizontal="center" wrapText="1"/>
      <protection/>
    </xf>
    <xf numFmtId="49" fontId="4" fillId="36" borderId="10" xfId="53" applyNumberFormat="1" applyFont="1" applyFill="1" applyBorder="1" applyAlignment="1">
      <alignment horizontal="center" wrapText="1"/>
      <protection/>
    </xf>
    <xf numFmtId="49" fontId="4" fillId="38" borderId="10" xfId="53" applyNumberFormat="1" applyFont="1" applyFill="1" applyBorder="1" applyAlignment="1">
      <alignment horizontal="center" wrapText="1"/>
      <protection/>
    </xf>
    <xf numFmtId="49" fontId="4" fillId="39" borderId="10" xfId="53" applyNumberFormat="1" applyFont="1" applyFill="1" applyBorder="1" applyAlignment="1">
      <alignment horizontal="center" wrapText="1"/>
      <protection/>
    </xf>
    <xf numFmtId="184" fontId="4" fillId="39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4" fillId="34" borderId="22" xfId="0" applyFont="1" applyFill="1" applyBorder="1" applyAlignment="1">
      <alignment horizontal="center" wrapText="1"/>
    </xf>
    <xf numFmtId="49" fontId="4" fillId="12" borderId="23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center" vertical="center" wrapText="1"/>
    </xf>
    <xf numFmtId="49" fontId="4" fillId="12" borderId="2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12" fillId="13" borderId="23" xfId="0" applyNumberFormat="1" applyFont="1" applyFill="1" applyBorder="1" applyAlignment="1">
      <alignment horizontal="center" vertical="center" wrapText="1"/>
    </xf>
    <xf numFmtId="49" fontId="12" fillId="13" borderId="24" xfId="0" applyNumberFormat="1" applyFont="1" applyFill="1" applyBorder="1" applyAlignment="1">
      <alignment horizontal="left" vertical="center" wrapText="1"/>
    </xf>
    <xf numFmtId="0" fontId="12" fillId="13" borderId="24" xfId="0" applyFont="1" applyFill="1" applyBorder="1" applyAlignment="1">
      <alignment horizontal="center" vertical="center" wrapText="1"/>
    </xf>
    <xf numFmtId="49" fontId="12" fillId="13" borderId="24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/>
    </xf>
    <xf numFmtId="49" fontId="4" fillId="6" borderId="24" xfId="0" applyNumberFormat="1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center" vertical="center" wrapText="1"/>
    </xf>
    <xf numFmtId="49" fontId="4" fillId="6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12" fillId="13" borderId="24" xfId="0" applyFont="1" applyFill="1" applyBorder="1" applyAlignment="1">
      <alignment horizontal="left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53" applyFont="1" applyAlignment="1">
      <alignment vertical="center" wrapText="1"/>
      <protection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left" vertical="center" wrapText="1"/>
    </xf>
    <xf numFmtId="2" fontId="51" fillId="34" borderId="10" xfId="0" applyNumberFormat="1" applyFont="1" applyFill="1" applyBorder="1" applyAlignment="1">
      <alignment horizontal="center" wrapText="1"/>
    </xf>
    <xf numFmtId="2" fontId="52" fillId="34" borderId="10" xfId="0" applyNumberFormat="1" applyFont="1" applyFill="1" applyBorder="1" applyAlignment="1">
      <alignment horizontal="center" wrapText="1"/>
    </xf>
    <xf numFmtId="2" fontId="4" fillId="34" borderId="22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 wrapText="1"/>
    </xf>
    <xf numFmtId="189" fontId="4" fillId="0" borderId="10" xfId="61" applyNumberFormat="1" applyFont="1" applyBorder="1" applyAlignment="1">
      <alignment horizontal="center"/>
    </xf>
    <xf numFmtId="176" fontId="4" fillId="6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6" borderId="24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176" fontId="4" fillId="3" borderId="24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176" fontId="2" fillId="4" borderId="24" xfId="0" applyNumberFormat="1" applyFont="1" applyFill="1" applyBorder="1" applyAlignment="1">
      <alignment horizontal="center" vertical="center" wrapText="1"/>
    </xf>
    <xf numFmtId="176" fontId="4" fillId="4" borderId="24" xfId="0" applyNumberFormat="1" applyFont="1" applyFill="1" applyBorder="1" applyAlignment="1">
      <alignment horizontal="center" vertical="center" wrapText="1"/>
    </xf>
    <xf numFmtId="176" fontId="3" fillId="3" borderId="24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176" fontId="2" fillId="4" borderId="15" xfId="0" applyNumberFormat="1" applyFont="1" applyFill="1" applyBorder="1" applyAlignment="1">
      <alignment horizontal="center" vertical="center" wrapText="1"/>
    </xf>
    <xf numFmtId="176" fontId="12" fillId="13" borderId="24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2" fontId="4" fillId="34" borderId="10" xfId="0" applyNumberFormat="1" applyFont="1" applyFill="1" applyBorder="1" applyAlignment="1">
      <alignment horizontal="center"/>
    </xf>
    <xf numFmtId="192" fontId="4" fillId="3" borderId="24" xfId="0" applyNumberFormat="1" applyFont="1" applyFill="1" applyBorder="1" applyAlignment="1">
      <alignment horizontal="center" vertical="center" wrapText="1"/>
    </xf>
    <xf numFmtId="192" fontId="4" fillId="6" borderId="24" xfId="0" applyNumberFormat="1" applyFont="1" applyFill="1" applyBorder="1" applyAlignment="1">
      <alignment horizontal="center" vertical="center" wrapText="1"/>
    </xf>
    <xf numFmtId="192" fontId="4" fillId="34" borderId="10" xfId="0" applyNumberFormat="1" applyFont="1" applyFill="1" applyBorder="1" applyAlignment="1">
      <alignment horizontal="center"/>
    </xf>
    <xf numFmtId="192" fontId="2" fillId="4" borderId="24" xfId="0" applyNumberFormat="1" applyFont="1" applyFill="1" applyBorder="1" applyAlignment="1">
      <alignment horizontal="center" vertical="center" wrapText="1"/>
    </xf>
    <xf numFmtId="176" fontId="2" fillId="4" borderId="16" xfId="0" applyNumberFormat="1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53" applyFont="1" applyFill="1" applyBorder="1" applyAlignment="1">
      <alignment horizontal="left" vertical="center" wrapText="1"/>
      <protection/>
    </xf>
    <xf numFmtId="176" fontId="4" fillId="34" borderId="24" xfId="0" applyNumberFormat="1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wrapText="1"/>
      <protection/>
    </xf>
    <xf numFmtId="49" fontId="4" fillId="34" borderId="10" xfId="0" applyNumberFormat="1" applyFont="1" applyFill="1" applyBorder="1" applyAlignment="1">
      <alignment horizontal="center"/>
    </xf>
    <xf numFmtId="0" fontId="1" fillId="0" borderId="0" xfId="53" applyFont="1" applyAlignment="1">
      <alignment wrapText="1"/>
      <protection/>
    </xf>
    <xf numFmtId="0" fontId="1" fillId="34" borderId="10" xfId="0" applyFont="1" applyFill="1" applyBorder="1" applyAlignment="1">
      <alignment horizontal="center" wrapText="1"/>
    </xf>
    <xf numFmtId="176" fontId="4" fillId="36" borderId="10" xfId="53" applyNumberFormat="1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center" wrapText="1"/>
      <protection/>
    </xf>
    <xf numFmtId="0" fontId="1" fillId="34" borderId="10" xfId="53" applyFont="1" applyFill="1" applyBorder="1" applyAlignment="1">
      <alignment horizontal="center" wrapText="1"/>
      <protection/>
    </xf>
    <xf numFmtId="0" fontId="4" fillId="36" borderId="10" xfId="53" applyFont="1" applyFill="1" applyBorder="1" applyAlignment="1">
      <alignment horizontal="center" wrapText="1"/>
      <protection/>
    </xf>
    <xf numFmtId="0" fontId="1" fillId="0" borderId="0" xfId="53" applyFont="1" applyAlignment="1">
      <alignment horizontal="right" wrapText="1"/>
      <protection/>
    </xf>
    <xf numFmtId="0" fontId="50" fillId="34" borderId="0" xfId="0" applyFont="1" applyFill="1" applyAlignment="1">
      <alignment horizontal="right" wrapText="1"/>
    </xf>
    <xf numFmtId="184" fontId="4" fillId="36" borderId="10" xfId="0" applyNumberFormat="1" applyFont="1" applyFill="1" applyBorder="1" applyAlignment="1">
      <alignment horizontal="center"/>
    </xf>
    <xf numFmtId="0" fontId="1" fillId="0" borderId="32" xfId="53" applyFont="1" applyBorder="1" applyAlignment="1">
      <alignment horizontal="center"/>
      <protection/>
    </xf>
    <xf numFmtId="0" fontId="1" fillId="0" borderId="0" xfId="53" applyFont="1" applyAlignment="1">
      <alignment horizontal="right"/>
      <protection/>
    </xf>
    <xf numFmtId="49" fontId="1" fillId="34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176" fontId="4" fillId="34" borderId="21" xfId="0" applyNumberFormat="1" applyFont="1" applyFill="1" applyBorder="1" applyAlignment="1">
      <alignment horizontal="center" wrapText="1"/>
    </xf>
    <xf numFmtId="176" fontId="4" fillId="34" borderId="22" xfId="0" applyNumberFormat="1" applyFont="1" applyFill="1" applyBorder="1" applyAlignment="1">
      <alignment horizontal="center" wrapText="1"/>
    </xf>
    <xf numFmtId="176" fontId="4" fillId="34" borderId="20" xfId="0" applyNumberFormat="1" applyFont="1" applyFill="1" applyBorder="1" applyAlignment="1">
      <alignment horizontal="center" wrapText="1"/>
    </xf>
    <xf numFmtId="193" fontId="4" fillId="34" borderId="21" xfId="0" applyNumberFormat="1" applyFont="1" applyFill="1" applyBorder="1" applyAlignment="1">
      <alignment horizontal="center" wrapText="1"/>
    </xf>
    <xf numFmtId="193" fontId="4" fillId="34" borderId="22" xfId="0" applyNumberFormat="1" applyFont="1" applyFill="1" applyBorder="1" applyAlignment="1">
      <alignment horizontal="center" wrapText="1"/>
    </xf>
    <xf numFmtId="2" fontId="4" fillId="34" borderId="21" xfId="0" applyNumberFormat="1" applyFont="1" applyFill="1" applyBorder="1" applyAlignment="1">
      <alignment horizontal="center" wrapText="1"/>
    </xf>
    <xf numFmtId="2" fontId="4" fillId="34" borderId="22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BA8367C61548C2AFBF9E6FD402A88DD132E1B56AAFE142E0CE9D95665F554F312D528821FE7E34F0DBiFM" TargetMode="External" /><Relationship Id="rId6" Type="http://schemas.openxmlformats.org/officeDocument/2006/relationships/hyperlink" Target="consultantplus://offline/ref=4645F68FF4B25908A56D00841820D7831ED18FCDE99E9570B71166DD85CCDB57342F52CC786DCE3FpDgA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1.25390625" style="0" customWidth="1"/>
    <col min="4" max="4" width="12.75390625" style="0" customWidth="1"/>
    <col min="5" max="5" width="11.125" style="0" customWidth="1"/>
    <col min="6" max="6" width="12.25390625" style="0" customWidth="1"/>
  </cols>
  <sheetData>
    <row r="1" spans="1:6" ht="12.75" customHeight="1">
      <c r="A1" s="220"/>
      <c r="B1" s="220"/>
      <c r="C1" s="226" t="s">
        <v>396</v>
      </c>
      <c r="D1" s="226"/>
      <c r="E1" s="226"/>
      <c r="F1" s="226"/>
    </row>
    <row r="2" spans="1:6" ht="12.75">
      <c r="A2" s="220"/>
      <c r="B2" s="220"/>
      <c r="C2" s="226" t="s">
        <v>528</v>
      </c>
      <c r="D2" s="226"/>
      <c r="E2" s="226"/>
      <c r="F2" s="226"/>
    </row>
    <row r="3" spans="1:6" ht="12.75" customHeight="1">
      <c r="A3" s="220"/>
      <c r="B3" s="226" t="s">
        <v>529</v>
      </c>
      <c r="C3" s="226"/>
      <c r="D3" s="226"/>
      <c r="E3" s="226"/>
      <c r="F3" s="226"/>
    </row>
    <row r="4" spans="1:6" ht="12.75" customHeight="1">
      <c r="A4" s="220"/>
      <c r="B4" s="220"/>
      <c r="C4" s="226" t="s">
        <v>531</v>
      </c>
      <c r="D4" s="226"/>
      <c r="E4" s="226"/>
      <c r="F4" s="226"/>
    </row>
    <row r="5" spans="1:6" ht="27" customHeight="1">
      <c r="A5" s="220"/>
      <c r="B5" s="227" t="s">
        <v>530</v>
      </c>
      <c r="C5" s="227"/>
      <c r="D5" s="227"/>
      <c r="E5" s="227"/>
      <c r="F5" s="227"/>
    </row>
    <row r="6" spans="1:6" ht="1.5" customHeight="1">
      <c r="A6" s="220"/>
      <c r="B6" s="227"/>
      <c r="C6" s="227"/>
      <c r="D6" s="227"/>
      <c r="E6" s="227"/>
      <c r="F6" s="227"/>
    </row>
    <row r="7" spans="1:4" ht="12.75">
      <c r="A7" s="27"/>
      <c r="B7" s="27"/>
      <c r="C7" s="36" t="s">
        <v>432</v>
      </c>
      <c r="D7" s="27"/>
    </row>
    <row r="8" spans="1:4" ht="12.75">
      <c r="A8" s="27"/>
      <c r="B8" s="27"/>
      <c r="C8" s="36" t="s">
        <v>229</v>
      </c>
      <c r="D8" s="27"/>
    </row>
    <row r="9" spans="1:4" ht="12.75">
      <c r="A9" s="27"/>
      <c r="B9" s="27"/>
      <c r="C9" s="36" t="s">
        <v>230</v>
      </c>
      <c r="D9" s="27"/>
    </row>
    <row r="10" spans="1:4" ht="12.75">
      <c r="A10" s="27"/>
      <c r="B10" s="27"/>
      <c r="C10" s="36" t="s">
        <v>521</v>
      </c>
      <c r="D10" s="27"/>
    </row>
    <row r="11" spans="1:4" ht="12.75">
      <c r="A11" s="27"/>
      <c r="B11" s="27"/>
      <c r="C11" s="27"/>
      <c r="D11" s="27"/>
    </row>
    <row r="12" spans="1:6" ht="25.5" customHeight="1">
      <c r="A12" s="223" t="s">
        <v>395</v>
      </c>
      <c r="B12" s="224" t="s">
        <v>394</v>
      </c>
      <c r="C12" s="224" t="s">
        <v>393</v>
      </c>
      <c r="D12" s="224" t="s">
        <v>429</v>
      </c>
      <c r="E12" s="221" t="s">
        <v>430</v>
      </c>
      <c r="F12" s="221" t="s">
        <v>431</v>
      </c>
    </row>
    <row r="13" spans="1:6" ht="12.75">
      <c r="A13" s="223"/>
      <c r="B13" s="224"/>
      <c r="C13" s="224"/>
      <c r="D13" s="224"/>
      <c r="E13" s="221"/>
      <c r="F13" s="221"/>
    </row>
    <row r="14" spans="1:6" ht="22.5">
      <c r="A14" s="110" t="s">
        <v>392</v>
      </c>
      <c r="B14" s="110" t="s">
        <v>391</v>
      </c>
      <c r="C14" s="110" t="s">
        <v>390</v>
      </c>
      <c r="D14" s="111">
        <f>D15+D31+D34+D44+D49+D55+D65</f>
        <v>86761.09999999999</v>
      </c>
      <c r="E14" s="111">
        <f>E15+E31+E34+E44+E49+E55+E65</f>
        <v>81021.59999999998</v>
      </c>
      <c r="F14" s="112">
        <f>E14/D14*100</f>
        <v>93.38470812380201</v>
      </c>
    </row>
    <row r="15" spans="1:6" ht="23.25" customHeight="1">
      <c r="A15" s="105" t="s">
        <v>0</v>
      </c>
      <c r="B15" s="105" t="s">
        <v>389</v>
      </c>
      <c r="C15" s="105" t="s">
        <v>388</v>
      </c>
      <c r="D15" s="106">
        <f>D16+D25+D28</f>
        <v>79188.9</v>
      </c>
      <c r="E15" s="106">
        <f>E16+E25+E28</f>
        <v>76482.09999999999</v>
      </c>
      <c r="F15" s="107">
        <f>E15/D15*100+ROUND(,1)</f>
        <v>96.58184417260499</v>
      </c>
    </row>
    <row r="16" spans="1:6" ht="22.5">
      <c r="A16" s="103" t="s">
        <v>2</v>
      </c>
      <c r="B16" s="103" t="s">
        <v>387</v>
      </c>
      <c r="C16" s="103" t="s">
        <v>386</v>
      </c>
      <c r="D16" s="104">
        <f>D17+D20+D23</f>
        <v>32994.6</v>
      </c>
      <c r="E16" s="104">
        <f>E17+E20+E23</f>
        <v>41040.6</v>
      </c>
      <c r="F16" s="113">
        <f>E16/D16*100</f>
        <v>124.38580858685965</v>
      </c>
    </row>
    <row r="17" spans="1:6" ht="45">
      <c r="A17" s="54" t="s">
        <v>4</v>
      </c>
      <c r="B17" s="55" t="s">
        <v>385</v>
      </c>
      <c r="C17" s="55" t="s">
        <v>383</v>
      </c>
      <c r="D17" s="102">
        <f>D18+D19</f>
        <v>23025</v>
      </c>
      <c r="E17" s="102">
        <f>E18+E19</f>
        <v>25230.2</v>
      </c>
      <c r="F17" s="58">
        <f>E17/D17*100</f>
        <v>109.57741585233443</v>
      </c>
    </row>
    <row r="18" spans="1:6" ht="33.75">
      <c r="A18" s="54"/>
      <c r="B18" s="54" t="s">
        <v>384</v>
      </c>
      <c r="C18" s="54" t="s">
        <v>383</v>
      </c>
      <c r="D18" s="57">
        <v>23025</v>
      </c>
      <c r="E18" s="53">
        <v>25221.2</v>
      </c>
      <c r="F18" s="58">
        <f>E18/D18*100</f>
        <v>109.53832790445168</v>
      </c>
    </row>
    <row r="19" spans="1:6" ht="45">
      <c r="A19" s="54"/>
      <c r="B19" s="54" t="s">
        <v>382</v>
      </c>
      <c r="C19" s="54" t="s">
        <v>381</v>
      </c>
      <c r="D19" s="57">
        <v>0</v>
      </c>
      <c r="E19" s="53">
        <v>9</v>
      </c>
      <c r="F19" s="58" t="s">
        <v>434</v>
      </c>
    </row>
    <row r="20" spans="1:6" ht="56.25">
      <c r="A20" s="56" t="s">
        <v>380</v>
      </c>
      <c r="B20" s="55" t="s">
        <v>379</v>
      </c>
      <c r="C20" s="55" t="s">
        <v>377</v>
      </c>
      <c r="D20" s="102">
        <f>D21+D22</f>
        <v>6382</v>
      </c>
      <c r="E20" s="102">
        <f>E21+E22</f>
        <v>16045.8</v>
      </c>
      <c r="F20" s="58">
        <f>E20/D20*100</f>
        <v>251.42275148856154</v>
      </c>
    </row>
    <row r="21" spans="1:6" ht="45">
      <c r="A21" s="54"/>
      <c r="B21" s="54" t="s">
        <v>378</v>
      </c>
      <c r="C21" s="54" t="s">
        <v>377</v>
      </c>
      <c r="D21" s="57">
        <v>6382</v>
      </c>
      <c r="E21" s="53">
        <v>16045</v>
      </c>
      <c r="F21" s="58">
        <f>E21/D21*100</f>
        <v>251.41021623315572</v>
      </c>
    </row>
    <row r="22" spans="1:6" ht="56.25">
      <c r="A22" s="54"/>
      <c r="B22" s="54" t="s">
        <v>376</v>
      </c>
      <c r="C22" s="54" t="s">
        <v>375</v>
      </c>
      <c r="D22" s="57">
        <v>0</v>
      </c>
      <c r="E22" s="53">
        <v>0.8</v>
      </c>
      <c r="F22" s="58" t="s">
        <v>434</v>
      </c>
    </row>
    <row r="23" spans="1:6" ht="33.75">
      <c r="A23" s="54" t="s">
        <v>374</v>
      </c>
      <c r="B23" s="55" t="s">
        <v>373</v>
      </c>
      <c r="C23" s="55" t="s">
        <v>372</v>
      </c>
      <c r="D23" s="102">
        <f>D24</f>
        <v>3587.6</v>
      </c>
      <c r="E23" s="102">
        <f>E24</f>
        <v>-235.4</v>
      </c>
      <c r="F23" s="58">
        <f>E23/D23*100</f>
        <v>-6.5614895752034785</v>
      </c>
    </row>
    <row r="24" spans="1:6" ht="45">
      <c r="A24" s="98"/>
      <c r="B24" s="99" t="s">
        <v>373</v>
      </c>
      <c r="C24" s="99" t="s">
        <v>476</v>
      </c>
      <c r="D24" s="102">
        <v>3587.6</v>
      </c>
      <c r="E24" s="97">
        <v>-235.4</v>
      </c>
      <c r="F24" s="96">
        <f>E24/D24*100</f>
        <v>-6.5614895752034785</v>
      </c>
    </row>
    <row r="25" spans="1:6" ht="22.5">
      <c r="A25" s="115" t="s">
        <v>7</v>
      </c>
      <c r="B25" s="103" t="s">
        <v>371</v>
      </c>
      <c r="C25" s="103" t="s">
        <v>369</v>
      </c>
      <c r="D25" s="104">
        <f>D26+D27</f>
        <v>41966.9</v>
      </c>
      <c r="E25" s="104">
        <f>E26+E27</f>
        <v>30268.8</v>
      </c>
      <c r="F25" s="116">
        <f>E25/D25*100</f>
        <v>72.12541312319946</v>
      </c>
    </row>
    <row r="26" spans="1:6" ht="22.5">
      <c r="A26" s="56"/>
      <c r="B26" s="54" t="s">
        <v>370</v>
      </c>
      <c r="C26" s="54" t="s">
        <v>369</v>
      </c>
      <c r="D26" s="57">
        <v>41966.9</v>
      </c>
      <c r="E26" s="53">
        <v>30275.3</v>
      </c>
      <c r="F26" s="58">
        <f>E26/D26*100</f>
        <v>72.14090152000743</v>
      </c>
    </row>
    <row r="27" spans="1:6" ht="45">
      <c r="A27" s="54"/>
      <c r="B27" s="54" t="s">
        <v>368</v>
      </c>
      <c r="C27" s="54" t="s">
        <v>367</v>
      </c>
      <c r="D27" s="57">
        <v>0</v>
      </c>
      <c r="E27" s="53">
        <v>-6.5</v>
      </c>
      <c r="F27" s="58" t="s">
        <v>434</v>
      </c>
    </row>
    <row r="28" spans="1:6" ht="15.75" customHeight="1">
      <c r="A28" s="225" t="s">
        <v>366</v>
      </c>
      <c r="B28" s="225" t="s">
        <v>365</v>
      </c>
      <c r="C28" s="225" t="s">
        <v>364</v>
      </c>
      <c r="D28" s="222">
        <f>D30</f>
        <v>4227.4</v>
      </c>
      <c r="E28" s="222">
        <f>E30</f>
        <v>5172.7</v>
      </c>
      <c r="F28" s="228">
        <f>E28/D28*100</f>
        <v>122.36126224156693</v>
      </c>
    </row>
    <row r="29" spans="1:6" ht="12.75">
      <c r="A29" s="225"/>
      <c r="B29" s="225"/>
      <c r="C29" s="225"/>
      <c r="D29" s="222"/>
      <c r="E29" s="222"/>
      <c r="F29" s="228"/>
    </row>
    <row r="30" spans="1:6" ht="45">
      <c r="A30" s="54"/>
      <c r="B30" s="54" t="s">
        <v>363</v>
      </c>
      <c r="C30" s="54" t="s">
        <v>362</v>
      </c>
      <c r="D30" s="57">
        <v>4227.4</v>
      </c>
      <c r="E30" s="53">
        <v>5172.7</v>
      </c>
      <c r="F30" s="58">
        <f>E30/D30*100</f>
        <v>122.36126224156693</v>
      </c>
    </row>
    <row r="31" spans="1:6" ht="45">
      <c r="A31" s="105" t="s">
        <v>219</v>
      </c>
      <c r="B31" s="105" t="s">
        <v>361</v>
      </c>
      <c r="C31" s="105" t="s">
        <v>360</v>
      </c>
      <c r="D31" s="106">
        <f>D32</f>
        <v>0</v>
      </c>
      <c r="E31" s="106">
        <f>E32</f>
        <v>0</v>
      </c>
      <c r="F31" s="114" t="s">
        <v>434</v>
      </c>
    </row>
    <row r="32" spans="1:6" ht="12.75">
      <c r="A32" s="98" t="s">
        <v>15</v>
      </c>
      <c r="B32" s="98" t="s">
        <v>359</v>
      </c>
      <c r="C32" s="98" t="s">
        <v>358</v>
      </c>
      <c r="D32" s="57">
        <f>D33</f>
        <v>0</v>
      </c>
      <c r="E32" s="97">
        <v>0</v>
      </c>
      <c r="F32" s="96" t="s">
        <v>434</v>
      </c>
    </row>
    <row r="33" spans="1:6" ht="22.5">
      <c r="A33" s="98"/>
      <c r="B33" s="98" t="s">
        <v>357</v>
      </c>
      <c r="C33" s="98" t="s">
        <v>356</v>
      </c>
      <c r="D33" s="57">
        <v>0</v>
      </c>
      <c r="E33" s="97">
        <v>0</v>
      </c>
      <c r="F33" s="96" t="s">
        <v>434</v>
      </c>
    </row>
    <row r="34" spans="1:6" ht="45">
      <c r="A34" s="105" t="s">
        <v>42</v>
      </c>
      <c r="B34" s="105" t="s">
        <v>354</v>
      </c>
      <c r="C34" s="105" t="s">
        <v>353</v>
      </c>
      <c r="D34" s="106">
        <f>D35+D37+D39+D42</f>
        <v>0</v>
      </c>
      <c r="E34" s="106">
        <f>E35+E37+E39+E42</f>
        <v>0</v>
      </c>
      <c r="F34" s="106" t="s">
        <v>434</v>
      </c>
    </row>
    <row r="35" spans="1:6" ht="12.75">
      <c r="A35" s="103" t="s">
        <v>44</v>
      </c>
      <c r="B35" s="103" t="s">
        <v>352</v>
      </c>
      <c r="C35" s="103" t="s">
        <v>351</v>
      </c>
      <c r="D35" s="104">
        <f>D36</f>
        <v>0</v>
      </c>
      <c r="E35" s="104">
        <f>E36</f>
        <v>0</v>
      </c>
      <c r="F35" s="116" t="s">
        <v>434</v>
      </c>
    </row>
    <row r="36" spans="1:6" ht="56.25">
      <c r="A36" s="98"/>
      <c r="B36" s="98" t="s">
        <v>350</v>
      </c>
      <c r="C36" s="98" t="s">
        <v>349</v>
      </c>
      <c r="D36" s="57">
        <v>0</v>
      </c>
      <c r="E36" s="97">
        <v>0</v>
      </c>
      <c r="F36" s="96" t="s">
        <v>434</v>
      </c>
    </row>
    <row r="37" spans="1:6" ht="22.5">
      <c r="A37" s="103" t="s">
        <v>477</v>
      </c>
      <c r="B37" s="103" t="s">
        <v>347</v>
      </c>
      <c r="C37" s="103" t="s">
        <v>346</v>
      </c>
      <c r="D37" s="104">
        <f>D38</f>
        <v>0</v>
      </c>
      <c r="E37" s="104">
        <f>E38</f>
        <v>0</v>
      </c>
      <c r="F37" s="116" t="s">
        <v>434</v>
      </c>
    </row>
    <row r="38" spans="1:6" ht="56.25">
      <c r="A38" s="98"/>
      <c r="B38" s="98" t="s">
        <v>345</v>
      </c>
      <c r="C38" s="98" t="s">
        <v>344</v>
      </c>
      <c r="D38" s="57">
        <v>0</v>
      </c>
      <c r="E38" s="97">
        <v>0</v>
      </c>
      <c r="F38" s="96" t="s">
        <v>434</v>
      </c>
    </row>
    <row r="39" spans="1:6" ht="101.25">
      <c r="A39" s="103" t="s">
        <v>478</v>
      </c>
      <c r="B39" s="103" t="s">
        <v>343</v>
      </c>
      <c r="C39" s="103" t="s">
        <v>342</v>
      </c>
      <c r="D39" s="104">
        <f>D40+D41</f>
        <v>0</v>
      </c>
      <c r="E39" s="104">
        <f>E40+E41</f>
        <v>0</v>
      </c>
      <c r="F39" s="116" t="s">
        <v>434</v>
      </c>
    </row>
    <row r="40" spans="1:6" ht="67.5" customHeight="1">
      <c r="A40" s="98"/>
      <c r="B40" s="98" t="s">
        <v>341</v>
      </c>
      <c r="C40" s="98" t="s">
        <v>340</v>
      </c>
      <c r="D40" s="57">
        <v>0</v>
      </c>
      <c r="E40" s="97">
        <v>0</v>
      </c>
      <c r="F40" s="96" t="s">
        <v>434</v>
      </c>
    </row>
    <row r="41" spans="1:6" ht="67.5" customHeight="1">
      <c r="A41" s="98"/>
      <c r="B41" s="98" t="s">
        <v>339</v>
      </c>
      <c r="C41" s="98" t="s">
        <v>338</v>
      </c>
      <c r="D41" s="57">
        <v>0</v>
      </c>
      <c r="E41" s="97">
        <v>0</v>
      </c>
      <c r="F41" s="96" t="s">
        <v>434</v>
      </c>
    </row>
    <row r="42" spans="1:6" ht="56.25">
      <c r="A42" s="103" t="s">
        <v>479</v>
      </c>
      <c r="B42" s="103" t="s">
        <v>337</v>
      </c>
      <c r="C42" s="103" t="s">
        <v>336</v>
      </c>
      <c r="D42" s="104">
        <f>D43</f>
        <v>0</v>
      </c>
      <c r="E42" s="104">
        <f>E43</f>
        <v>0</v>
      </c>
      <c r="F42" s="116" t="s">
        <v>434</v>
      </c>
    </row>
    <row r="43" spans="1:6" ht="78.75">
      <c r="A43" s="98"/>
      <c r="B43" s="98" t="s">
        <v>335</v>
      </c>
      <c r="C43" s="98" t="s">
        <v>334</v>
      </c>
      <c r="D43" s="57">
        <v>0</v>
      </c>
      <c r="E43" s="97">
        <v>0</v>
      </c>
      <c r="F43" s="96" t="s">
        <v>434</v>
      </c>
    </row>
    <row r="44" spans="1:6" ht="33.75">
      <c r="A44" s="105" t="s">
        <v>355</v>
      </c>
      <c r="B44" s="105" t="s">
        <v>332</v>
      </c>
      <c r="C44" s="105" t="s">
        <v>331</v>
      </c>
      <c r="D44" s="106">
        <f>D45</f>
        <v>2400</v>
      </c>
      <c r="E44" s="106">
        <f>E45</f>
        <v>-1349.1000000000001</v>
      </c>
      <c r="F44" s="106">
        <f>E44/D44*100</f>
        <v>-56.21250000000001</v>
      </c>
    </row>
    <row r="45" spans="1:6" ht="22.5">
      <c r="A45" s="103" t="s">
        <v>133</v>
      </c>
      <c r="B45" s="103" t="s">
        <v>330</v>
      </c>
      <c r="C45" s="103" t="s">
        <v>329</v>
      </c>
      <c r="D45" s="104">
        <f>D46</f>
        <v>2400</v>
      </c>
      <c r="E45" s="104">
        <f>E46</f>
        <v>-1349.1000000000001</v>
      </c>
      <c r="F45" s="116">
        <f>E45/D45*100</f>
        <v>-56.21250000000001</v>
      </c>
    </row>
    <row r="46" spans="1:6" ht="45">
      <c r="A46" s="103" t="s">
        <v>348</v>
      </c>
      <c r="B46" s="103" t="s">
        <v>328</v>
      </c>
      <c r="C46" s="103" t="s">
        <v>327</v>
      </c>
      <c r="D46" s="104">
        <f>D47+D48</f>
        <v>2400</v>
      </c>
      <c r="E46" s="104">
        <f>E47+E48</f>
        <v>-1349.1000000000001</v>
      </c>
      <c r="F46" s="116">
        <f>E46/D46*100</f>
        <v>-56.21250000000001</v>
      </c>
    </row>
    <row r="47" spans="1:6" ht="90">
      <c r="A47" s="98"/>
      <c r="B47" s="98" t="s">
        <v>326</v>
      </c>
      <c r="C47" s="98" t="s">
        <v>325</v>
      </c>
      <c r="D47" s="57">
        <v>2400</v>
      </c>
      <c r="E47" s="97">
        <v>-1796.4</v>
      </c>
      <c r="F47" s="57">
        <f>E47/D47*100</f>
        <v>-74.85000000000001</v>
      </c>
    </row>
    <row r="48" spans="1:6" ht="45">
      <c r="A48" s="98"/>
      <c r="B48" s="98" t="s">
        <v>324</v>
      </c>
      <c r="C48" s="98" t="s">
        <v>323</v>
      </c>
      <c r="D48" s="57">
        <v>0</v>
      </c>
      <c r="E48" s="97">
        <v>447.3</v>
      </c>
      <c r="F48" s="57" t="s">
        <v>434</v>
      </c>
    </row>
    <row r="49" spans="1:6" ht="33.75">
      <c r="A49" s="108" t="s">
        <v>333</v>
      </c>
      <c r="B49" s="108" t="s">
        <v>321</v>
      </c>
      <c r="C49" s="108" t="s">
        <v>320</v>
      </c>
      <c r="D49" s="109">
        <f>D50</f>
        <v>0</v>
      </c>
      <c r="E49" s="109">
        <f>E50</f>
        <v>0</v>
      </c>
      <c r="F49" s="109" t="s">
        <v>434</v>
      </c>
    </row>
    <row r="50" spans="1:6" ht="33.75">
      <c r="A50" s="103" t="s">
        <v>164</v>
      </c>
      <c r="B50" s="103" t="s">
        <v>319</v>
      </c>
      <c r="C50" s="103" t="s">
        <v>318</v>
      </c>
      <c r="D50" s="104">
        <f>D51+D53</f>
        <v>0</v>
      </c>
      <c r="E50" s="104">
        <f>E51+E53</f>
        <v>0</v>
      </c>
      <c r="F50" s="116" t="s">
        <v>434</v>
      </c>
    </row>
    <row r="51" spans="1:6" ht="67.5" customHeight="1">
      <c r="A51" s="118" t="s">
        <v>50</v>
      </c>
      <c r="B51" s="98" t="s">
        <v>317</v>
      </c>
      <c r="C51" s="98" t="s">
        <v>316</v>
      </c>
      <c r="D51" s="57">
        <f>D52</f>
        <v>0</v>
      </c>
      <c r="E51" s="97">
        <v>0</v>
      </c>
      <c r="F51" s="96" t="s">
        <v>434</v>
      </c>
    </row>
    <row r="52" spans="1:6" ht="67.5" customHeight="1">
      <c r="A52" s="118"/>
      <c r="B52" s="98" t="s">
        <v>315</v>
      </c>
      <c r="C52" s="98" t="s">
        <v>314</v>
      </c>
      <c r="D52" s="57">
        <v>0</v>
      </c>
      <c r="E52" s="97">
        <v>0</v>
      </c>
      <c r="F52" s="96" t="s">
        <v>434</v>
      </c>
    </row>
    <row r="53" spans="1:6" ht="67.5" customHeight="1">
      <c r="A53" s="118" t="s">
        <v>480</v>
      </c>
      <c r="B53" s="98" t="s">
        <v>313</v>
      </c>
      <c r="C53" s="98" t="s">
        <v>312</v>
      </c>
      <c r="D53" s="57">
        <f>D54</f>
        <v>0</v>
      </c>
      <c r="E53" s="97">
        <v>0</v>
      </c>
      <c r="F53" s="96" t="s">
        <v>434</v>
      </c>
    </row>
    <row r="54" spans="2:6" ht="67.5" customHeight="1">
      <c r="B54" s="98" t="s">
        <v>311</v>
      </c>
      <c r="C54" s="98" t="s">
        <v>310</v>
      </c>
      <c r="D54" s="57">
        <v>0</v>
      </c>
      <c r="E54" s="97">
        <v>0</v>
      </c>
      <c r="F54" s="96" t="s">
        <v>434</v>
      </c>
    </row>
    <row r="55" spans="1:6" ht="22.5">
      <c r="A55" s="120" t="s">
        <v>322</v>
      </c>
      <c r="B55" s="108" t="s">
        <v>308</v>
      </c>
      <c r="C55" s="108" t="s">
        <v>307</v>
      </c>
      <c r="D55" s="109">
        <f>D56+D57</f>
        <v>5172.200000000001</v>
      </c>
      <c r="E55" s="109">
        <f>E56+E57</f>
        <v>5207.900000000001</v>
      </c>
      <c r="F55" s="117">
        <f aca="true" t="shared" si="0" ref="F55:F63">E55/D55*100</f>
        <v>100.69022852944589</v>
      </c>
    </row>
    <row r="56" spans="1:6" ht="67.5">
      <c r="A56" s="119" t="s">
        <v>53</v>
      </c>
      <c r="B56" s="103" t="s">
        <v>306</v>
      </c>
      <c r="C56" s="103" t="s">
        <v>305</v>
      </c>
      <c r="D56" s="104">
        <v>513.6</v>
      </c>
      <c r="E56" s="104">
        <v>444</v>
      </c>
      <c r="F56" s="113">
        <f t="shared" si="0"/>
        <v>86.44859813084112</v>
      </c>
    </row>
    <row r="57" spans="1:6" ht="33.75">
      <c r="A57" s="119" t="s">
        <v>481</v>
      </c>
      <c r="B57" s="103" t="s">
        <v>304</v>
      </c>
      <c r="C57" s="103" t="s">
        <v>303</v>
      </c>
      <c r="D57" s="104">
        <f>D58</f>
        <v>4658.6</v>
      </c>
      <c r="E57" s="104">
        <f>E58</f>
        <v>4763.900000000001</v>
      </c>
      <c r="F57" s="113">
        <f t="shared" si="0"/>
        <v>102.26033572317863</v>
      </c>
    </row>
    <row r="58" spans="1:6" ht="67.5">
      <c r="A58" s="118" t="s">
        <v>482</v>
      </c>
      <c r="B58" s="98" t="s">
        <v>302</v>
      </c>
      <c r="C58" s="98" t="s">
        <v>301</v>
      </c>
      <c r="D58" s="57">
        <f>D59+D61+D62+D63</f>
        <v>4658.6</v>
      </c>
      <c r="E58" s="57">
        <f>E59+E61+E62+E63+E60+E64</f>
        <v>4763.900000000001</v>
      </c>
      <c r="F58" s="96">
        <f t="shared" si="0"/>
        <v>102.26033572317863</v>
      </c>
    </row>
    <row r="59" spans="1:6" ht="67.5">
      <c r="A59" s="118"/>
      <c r="B59" s="98" t="s">
        <v>300</v>
      </c>
      <c r="C59" s="98" t="s">
        <v>297</v>
      </c>
      <c r="D59" s="57">
        <v>3566.5</v>
      </c>
      <c r="E59" s="57">
        <v>2230</v>
      </c>
      <c r="F59" s="96">
        <f t="shared" si="0"/>
        <v>62.52628627505958</v>
      </c>
    </row>
    <row r="60" spans="1:6" ht="78.75">
      <c r="A60" s="118"/>
      <c r="B60" s="218" t="s">
        <v>525</v>
      </c>
      <c r="C60" s="218" t="s">
        <v>526</v>
      </c>
      <c r="D60" s="57">
        <v>0</v>
      </c>
      <c r="E60" s="57">
        <v>1215</v>
      </c>
      <c r="F60" s="96" t="s">
        <v>434</v>
      </c>
    </row>
    <row r="61" spans="1:6" ht="67.5">
      <c r="A61" s="118"/>
      <c r="B61" s="98" t="s">
        <v>299</v>
      </c>
      <c r="C61" s="98" t="s">
        <v>297</v>
      </c>
      <c r="D61" s="57">
        <v>237.4</v>
      </c>
      <c r="E61" s="57">
        <v>117.1</v>
      </c>
      <c r="F61" s="96">
        <f t="shared" si="0"/>
        <v>49.326032013479356</v>
      </c>
    </row>
    <row r="62" spans="1:6" ht="67.5">
      <c r="A62" s="118"/>
      <c r="B62" s="98" t="s">
        <v>298</v>
      </c>
      <c r="C62" s="98" t="s">
        <v>297</v>
      </c>
      <c r="D62" s="57">
        <v>830.7</v>
      </c>
      <c r="E62" s="57">
        <v>1059</v>
      </c>
      <c r="F62" s="96">
        <f t="shared" si="0"/>
        <v>127.48284579270495</v>
      </c>
    </row>
    <row r="63" spans="1:6" ht="67.5" customHeight="1">
      <c r="A63" s="118"/>
      <c r="B63" s="98" t="s">
        <v>296</v>
      </c>
      <c r="C63" s="98" t="s">
        <v>295</v>
      </c>
      <c r="D63" s="57">
        <v>24</v>
      </c>
      <c r="E63" s="97">
        <v>105.5</v>
      </c>
      <c r="F63" s="96">
        <f t="shared" si="0"/>
        <v>439.5833333333333</v>
      </c>
    </row>
    <row r="64" spans="1:6" ht="67.5" customHeight="1">
      <c r="A64" s="118"/>
      <c r="B64" s="218" t="s">
        <v>527</v>
      </c>
      <c r="C64" s="218" t="s">
        <v>295</v>
      </c>
      <c r="D64" s="57">
        <v>0</v>
      </c>
      <c r="E64" s="97">
        <v>37.3</v>
      </c>
      <c r="F64" s="96" t="s">
        <v>434</v>
      </c>
    </row>
    <row r="65" spans="1:63" s="124" customFormat="1" ht="12.75">
      <c r="A65" s="120" t="s">
        <v>309</v>
      </c>
      <c r="B65" s="108" t="s">
        <v>294</v>
      </c>
      <c r="C65" s="108" t="s">
        <v>293</v>
      </c>
      <c r="D65" s="109">
        <f>D66+D68</f>
        <v>0</v>
      </c>
      <c r="E65" s="109">
        <f>E66+E68</f>
        <v>680.7</v>
      </c>
      <c r="F65" s="109" t="s">
        <v>434</v>
      </c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</row>
    <row r="66" spans="1:63" s="123" customFormat="1" ht="12.75">
      <c r="A66" s="119" t="s">
        <v>58</v>
      </c>
      <c r="B66" s="103" t="s">
        <v>292</v>
      </c>
      <c r="C66" s="103" t="s">
        <v>291</v>
      </c>
      <c r="D66" s="104">
        <f>D67</f>
        <v>0</v>
      </c>
      <c r="E66" s="104">
        <f>E67</f>
        <v>0</v>
      </c>
      <c r="F66" s="116" t="s">
        <v>434</v>
      </c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</row>
    <row r="67" spans="1:63" ht="45">
      <c r="A67" s="118"/>
      <c r="B67" s="98" t="s">
        <v>290</v>
      </c>
      <c r="C67" s="98" t="s">
        <v>289</v>
      </c>
      <c r="D67" s="57">
        <v>0</v>
      </c>
      <c r="E67" s="97">
        <v>0</v>
      </c>
      <c r="F67" s="97" t="s">
        <v>434</v>
      </c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</row>
    <row r="68" spans="1:63" s="123" customFormat="1" ht="12.75">
      <c r="A68" s="119" t="s">
        <v>151</v>
      </c>
      <c r="B68" s="103" t="s">
        <v>287</v>
      </c>
      <c r="C68" s="103" t="s">
        <v>286</v>
      </c>
      <c r="D68" s="104">
        <f>D69+D70</f>
        <v>0</v>
      </c>
      <c r="E68" s="104">
        <f>E69+E70</f>
        <v>680.7</v>
      </c>
      <c r="F68" s="116" t="s">
        <v>434</v>
      </c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</row>
    <row r="69" spans="1:6" ht="33.75">
      <c r="A69" s="118"/>
      <c r="B69" s="98" t="s">
        <v>285</v>
      </c>
      <c r="C69" s="98" t="s">
        <v>283</v>
      </c>
      <c r="D69" s="57">
        <v>0</v>
      </c>
      <c r="E69" s="97">
        <v>0</v>
      </c>
      <c r="F69" s="97" t="s">
        <v>434</v>
      </c>
    </row>
    <row r="70" spans="1:6" ht="33.75">
      <c r="A70" s="118"/>
      <c r="B70" s="98" t="s">
        <v>284</v>
      </c>
      <c r="C70" s="98" t="s">
        <v>283</v>
      </c>
      <c r="D70" s="57">
        <v>0</v>
      </c>
      <c r="E70" s="97">
        <v>680.7</v>
      </c>
      <c r="F70" s="97" t="s">
        <v>434</v>
      </c>
    </row>
    <row r="71" spans="1:6" ht="12.75">
      <c r="A71" s="121" t="s">
        <v>282</v>
      </c>
      <c r="B71" s="110" t="s">
        <v>281</v>
      </c>
      <c r="C71" s="110" t="s">
        <v>280</v>
      </c>
      <c r="D71" s="111">
        <f>D72+D80</f>
        <v>43124.700000000004</v>
      </c>
      <c r="E71" s="111">
        <f>E72+E80</f>
        <v>33391.5</v>
      </c>
      <c r="F71" s="122">
        <f aca="true" t="shared" si="1" ref="F71:F77">E71/D71*100</f>
        <v>77.43010386159207</v>
      </c>
    </row>
    <row r="72" spans="1:6" ht="33.75">
      <c r="A72" s="119" t="s">
        <v>483</v>
      </c>
      <c r="B72" s="103" t="s">
        <v>279</v>
      </c>
      <c r="C72" s="103" t="s">
        <v>278</v>
      </c>
      <c r="D72" s="104">
        <f>D73+D74+D75+D76+D77+D78+D79</f>
        <v>43124.700000000004</v>
      </c>
      <c r="E72" s="104">
        <f>E73+E74+E75+E76+E77+E78+E79</f>
        <v>33391.5</v>
      </c>
      <c r="F72" s="113">
        <f t="shared" si="1"/>
        <v>77.43010386159207</v>
      </c>
    </row>
    <row r="73" spans="1:6" ht="45">
      <c r="A73" s="118"/>
      <c r="B73" s="98" t="s">
        <v>277</v>
      </c>
      <c r="C73" s="98" t="s">
        <v>276</v>
      </c>
      <c r="D73" s="57">
        <v>27622.9</v>
      </c>
      <c r="E73" s="97">
        <v>20219.2</v>
      </c>
      <c r="F73" s="96">
        <f t="shared" si="1"/>
        <v>73.19723852310945</v>
      </c>
    </row>
    <row r="74" spans="1:6" ht="78.75">
      <c r="A74" s="118"/>
      <c r="B74" s="98" t="s">
        <v>275</v>
      </c>
      <c r="C74" s="98" t="s">
        <v>274</v>
      </c>
      <c r="D74" s="57">
        <v>4127.7</v>
      </c>
      <c r="E74" s="97">
        <v>4127.7</v>
      </c>
      <c r="F74" s="96">
        <f t="shared" si="1"/>
        <v>100</v>
      </c>
    </row>
    <row r="75" spans="1:6" ht="67.5" customHeight="1">
      <c r="A75" s="118"/>
      <c r="B75" s="98" t="s">
        <v>273</v>
      </c>
      <c r="C75" s="98" t="s">
        <v>272</v>
      </c>
      <c r="D75" s="57">
        <v>6.5</v>
      </c>
      <c r="E75" s="97">
        <v>6.5</v>
      </c>
      <c r="F75" s="96">
        <f t="shared" si="1"/>
        <v>100</v>
      </c>
    </row>
    <row r="76" spans="1:6" ht="78.75">
      <c r="A76" s="118"/>
      <c r="B76" s="98" t="s">
        <v>271</v>
      </c>
      <c r="C76" s="98" t="s">
        <v>270</v>
      </c>
      <c r="D76" s="57">
        <v>7828.6</v>
      </c>
      <c r="E76" s="97">
        <v>6366.4</v>
      </c>
      <c r="F76" s="96">
        <f t="shared" si="1"/>
        <v>81.32233094039802</v>
      </c>
    </row>
    <row r="77" spans="1:6" ht="67.5" customHeight="1">
      <c r="A77" s="118"/>
      <c r="B77" s="98" t="s">
        <v>269</v>
      </c>
      <c r="C77" s="98" t="s">
        <v>268</v>
      </c>
      <c r="D77" s="57">
        <v>3539</v>
      </c>
      <c r="E77" s="97">
        <v>2671.7</v>
      </c>
      <c r="F77" s="96">
        <f t="shared" si="1"/>
        <v>75.49307714043515</v>
      </c>
    </row>
    <row r="78" spans="1:6" ht="67.5" customHeight="1">
      <c r="A78" s="118"/>
      <c r="B78" s="98" t="s">
        <v>267</v>
      </c>
      <c r="C78" s="98" t="s">
        <v>266</v>
      </c>
      <c r="D78" s="57">
        <v>0</v>
      </c>
      <c r="E78" s="97">
        <v>0</v>
      </c>
      <c r="F78" s="97">
        <v>0</v>
      </c>
    </row>
    <row r="79" spans="1:6" ht="67.5" customHeight="1">
      <c r="A79" s="118"/>
      <c r="B79" s="98" t="s">
        <v>265</v>
      </c>
      <c r="C79" s="98" t="s">
        <v>264</v>
      </c>
      <c r="D79" s="57">
        <v>0</v>
      </c>
      <c r="E79" s="97">
        <v>0</v>
      </c>
      <c r="F79" s="97">
        <v>0</v>
      </c>
    </row>
    <row r="80" spans="1:6" ht="67.5" customHeight="1">
      <c r="A80" s="119" t="s">
        <v>484</v>
      </c>
      <c r="B80" s="103" t="s">
        <v>263</v>
      </c>
      <c r="C80" s="103" t="s">
        <v>262</v>
      </c>
      <c r="D80" s="104">
        <f>D81+D82+D83</f>
        <v>0</v>
      </c>
      <c r="E80" s="104">
        <f>E81+E82+E83</f>
        <v>0</v>
      </c>
      <c r="F80" s="116">
        <v>0</v>
      </c>
    </row>
    <row r="81" spans="1:6" ht="56.25">
      <c r="A81" s="118"/>
      <c r="B81" s="98" t="s">
        <v>261</v>
      </c>
      <c r="C81" s="98" t="s">
        <v>260</v>
      </c>
      <c r="D81" s="57">
        <v>0</v>
      </c>
      <c r="E81" s="97">
        <v>0</v>
      </c>
      <c r="F81" s="97">
        <v>0</v>
      </c>
    </row>
    <row r="82" spans="1:6" ht="56.25">
      <c r="A82" s="118"/>
      <c r="B82" s="98" t="s">
        <v>259</v>
      </c>
      <c r="C82" s="98" t="s">
        <v>258</v>
      </c>
      <c r="D82" s="57">
        <v>0</v>
      </c>
      <c r="E82" s="97">
        <v>0</v>
      </c>
      <c r="F82" s="97">
        <v>0</v>
      </c>
    </row>
    <row r="83" spans="1:6" ht="67.5">
      <c r="A83" s="118"/>
      <c r="B83" s="98" t="s">
        <v>257</v>
      </c>
      <c r="C83" s="98" t="s">
        <v>256</v>
      </c>
      <c r="D83" s="57">
        <v>0</v>
      </c>
      <c r="E83" s="97">
        <v>0</v>
      </c>
      <c r="F83" s="97">
        <v>0</v>
      </c>
    </row>
    <row r="84" spans="1:6" ht="12.75">
      <c r="A84" s="54"/>
      <c r="B84" s="54"/>
      <c r="C84" s="54" t="s">
        <v>255</v>
      </c>
      <c r="D84" s="57">
        <f>D71+D14</f>
        <v>129885.79999999999</v>
      </c>
      <c r="E84" s="57">
        <f>E71+E14</f>
        <v>114413.09999999998</v>
      </c>
      <c r="F84" s="58">
        <f>E84/D84*100</f>
        <v>88.0874583672734</v>
      </c>
    </row>
  </sheetData>
  <sheetProtection/>
  <mergeCells count="17">
    <mergeCell ref="C1:F1"/>
    <mergeCell ref="C2:F2"/>
    <mergeCell ref="B3:F3"/>
    <mergeCell ref="C4:F4"/>
    <mergeCell ref="B5:F6"/>
    <mergeCell ref="F28:F29"/>
    <mergeCell ref="C28:C29"/>
    <mergeCell ref="D28:D29"/>
    <mergeCell ref="D12:D13"/>
    <mergeCell ref="E12:E13"/>
    <mergeCell ref="F12:F13"/>
    <mergeCell ref="E28:E29"/>
    <mergeCell ref="A12:A13"/>
    <mergeCell ref="B12:B13"/>
    <mergeCell ref="C12:C13"/>
    <mergeCell ref="A28:A29"/>
    <mergeCell ref="B28:B29"/>
  </mergeCells>
  <hyperlinks>
    <hyperlink ref="C59" r:id="rId1" display="consultantplus://offline/ref=BA8367C61548C2AFBF9E6FD402A88DD132E1B56AAFE142E0CE9D95665F554F312D528821FE7E34F0DBiFM"/>
    <hyperlink ref="C61" r:id="rId2" display="consultantplus://offline/ref=BA8367C61548C2AFBF9E6FD402A88DD132E1B56AAFE142E0CE9D95665F554F312D528821FE7E34F0DBiFM"/>
    <hyperlink ref="C62" r:id="rId3" display="consultantplus://offline/ref=37CB61848D3A6800D660F2D2E804EC401BB9181ED910B74777BA149D24DE935506BFA7761A0CC035lAh4M"/>
    <hyperlink ref="C63" r:id="rId4" display="consultantplus://offline/ref=4645F68FF4B25908A56D00841820D7831ED18FCDE99E9570B71166DD85CCDB57342F52CC786DCE3FpDgAM"/>
    <hyperlink ref="C60" r:id="rId5" display="consultantplus://offline/ref=BA8367C61548C2AFBF9E6FD402A88DD132E1B56AAFE142E0CE9D95665F554F312D528821FE7E34F0DBiFM"/>
    <hyperlink ref="C64" r:id="rId6" display="consultantplus://offline/ref=4645F68FF4B25908A56D00841820D7831ED18FCDE99E9570B71166DD85CCDB57342F52CC786DCE3FpDgAM"/>
  </hyperlinks>
  <printOptions/>
  <pageMargins left="0.25" right="0.25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B4" sqref="B4:K4"/>
    </sheetView>
  </sheetViews>
  <sheetFormatPr defaultColWidth="9.00390625" defaultRowHeight="12.75"/>
  <cols>
    <col min="1" max="1" width="6.75390625" style="0" customWidth="1"/>
    <col min="2" max="2" width="32.125" style="0" customWidth="1"/>
    <col min="3" max="3" width="6.125" style="0" customWidth="1"/>
    <col min="4" max="4" width="8.375" style="0" customWidth="1"/>
    <col min="5" max="5" width="10.75390625" style="0" customWidth="1"/>
    <col min="6" max="6" width="6.125" style="0" customWidth="1"/>
    <col min="7" max="7" width="7.375" style="0" hidden="1" customWidth="1"/>
    <col min="8" max="8" width="9.375" style="0" customWidth="1"/>
    <col min="9" max="9" width="9.125" style="0" hidden="1" customWidth="1"/>
    <col min="11" max="11" width="11.625" style="0" bestFit="1" customWidth="1"/>
  </cols>
  <sheetData>
    <row r="1" spans="1:11" ht="15" customHeight="1">
      <c r="A1" s="27"/>
      <c r="B1" s="46"/>
      <c r="C1" s="46"/>
      <c r="D1" s="230" t="s">
        <v>251</v>
      </c>
      <c r="E1" s="230"/>
      <c r="F1" s="230"/>
      <c r="G1" s="230"/>
      <c r="H1" s="230"/>
      <c r="I1" s="230"/>
      <c r="J1" s="230"/>
      <c r="K1" s="230"/>
    </row>
    <row r="2" spans="1:11" ht="15" customHeight="1">
      <c r="A2" s="27"/>
      <c r="B2" s="226" t="s">
        <v>528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5" customHeight="1">
      <c r="A3" s="30"/>
      <c r="B3" s="226" t="s">
        <v>433</v>
      </c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5" customHeight="1">
      <c r="A4" s="30"/>
      <c r="B4" s="226" t="s">
        <v>531</v>
      </c>
      <c r="C4" s="226"/>
      <c r="D4" s="226"/>
      <c r="E4" s="226"/>
      <c r="F4" s="226"/>
      <c r="G4" s="226"/>
      <c r="H4" s="226"/>
      <c r="I4" s="226"/>
      <c r="J4" s="226"/>
      <c r="K4" s="226"/>
    </row>
    <row r="5" spans="1:11" ht="24" customHeight="1">
      <c r="A5" s="30"/>
      <c r="B5" s="227" t="s">
        <v>524</v>
      </c>
      <c r="C5" s="227"/>
      <c r="D5" s="227"/>
      <c r="E5" s="227"/>
      <c r="F5" s="227"/>
      <c r="G5" s="227"/>
      <c r="H5" s="227"/>
      <c r="I5" s="227"/>
      <c r="J5" s="227"/>
      <c r="K5" s="227"/>
    </row>
    <row r="6" spans="1:8" ht="24" customHeight="1">
      <c r="A6" s="30"/>
      <c r="B6" s="49"/>
      <c r="C6" s="49"/>
      <c r="D6" s="49"/>
      <c r="E6" s="49"/>
      <c r="F6" s="52"/>
      <c r="G6" s="52"/>
      <c r="H6" s="52"/>
    </row>
    <row r="7" spans="1:8" ht="12.75">
      <c r="A7" s="30"/>
      <c r="B7" s="2"/>
      <c r="C7" s="29" t="s">
        <v>452</v>
      </c>
      <c r="D7" s="35"/>
      <c r="E7" s="28"/>
      <c r="F7" s="28"/>
      <c r="G7" s="28"/>
      <c r="H7" s="28"/>
    </row>
    <row r="8" spans="1:8" ht="12.75">
      <c r="A8" s="31"/>
      <c r="B8" s="27"/>
      <c r="C8" s="29" t="s">
        <v>453</v>
      </c>
      <c r="D8" s="27"/>
      <c r="E8" s="51"/>
      <c r="F8" s="51"/>
      <c r="G8" s="51"/>
      <c r="H8" s="51"/>
    </row>
    <row r="9" spans="1:8" ht="12.75">
      <c r="A9" s="32"/>
      <c r="B9" s="27"/>
      <c r="C9" s="29" t="s">
        <v>523</v>
      </c>
      <c r="D9" s="27"/>
      <c r="E9" s="51"/>
      <c r="F9" s="51"/>
      <c r="G9" s="51"/>
      <c r="H9" s="51"/>
    </row>
    <row r="10" spans="1:8" ht="12.75">
      <c r="A10" s="32"/>
      <c r="B10" s="229" t="s">
        <v>451</v>
      </c>
      <c r="C10" s="229"/>
      <c r="D10" s="229"/>
      <c r="E10" s="229"/>
      <c r="F10" s="229"/>
      <c r="G10" s="51"/>
      <c r="H10" s="51"/>
    </row>
    <row r="11" spans="1:11" ht="51.75" thickBot="1">
      <c r="A11" s="6" t="s">
        <v>74</v>
      </c>
      <c r="B11" s="86" t="s">
        <v>75</v>
      </c>
      <c r="C11" s="81" t="s">
        <v>76</v>
      </c>
      <c r="D11" s="87" t="s">
        <v>215</v>
      </c>
      <c r="E11" s="88" t="s">
        <v>77</v>
      </c>
      <c r="F11" s="81" t="s">
        <v>216</v>
      </c>
      <c r="G11" s="81" t="s">
        <v>217</v>
      </c>
      <c r="H11" s="89" t="s">
        <v>461</v>
      </c>
      <c r="I11" s="90"/>
      <c r="J11" s="50" t="s">
        <v>462</v>
      </c>
      <c r="K11" s="50" t="s">
        <v>463</v>
      </c>
    </row>
    <row r="12" spans="1:11" ht="45" hidden="1">
      <c r="A12" s="38"/>
      <c r="B12" s="39" t="s">
        <v>252</v>
      </c>
      <c r="C12" s="40" t="s">
        <v>81</v>
      </c>
      <c r="D12" s="41"/>
      <c r="E12" s="41"/>
      <c r="F12" s="40"/>
      <c r="G12" s="40"/>
      <c r="H12" s="42">
        <f>H13</f>
        <v>3355</v>
      </c>
      <c r="J12" s="43">
        <f>J13</f>
        <v>3354.6000000000004</v>
      </c>
      <c r="K12" s="43">
        <f>J12/H12*100</f>
        <v>99.98807749627423</v>
      </c>
    </row>
    <row r="13" spans="1:11" ht="45.75" thickBot="1">
      <c r="A13" s="140"/>
      <c r="B13" s="141" t="s">
        <v>252</v>
      </c>
      <c r="C13" s="142">
        <v>928</v>
      </c>
      <c r="D13" s="143"/>
      <c r="E13" s="143"/>
      <c r="F13" s="142"/>
      <c r="G13" s="22"/>
      <c r="H13" s="203">
        <f>H14</f>
        <v>3355</v>
      </c>
      <c r="I13" s="143"/>
      <c r="J13" s="203">
        <f>J14</f>
        <v>3354.6000000000004</v>
      </c>
      <c r="K13" s="203">
        <f>J13/H13*100</f>
        <v>99.98807749627423</v>
      </c>
    </row>
    <row r="14" spans="1:11" ht="13.5" thickBot="1">
      <c r="A14" s="165" t="s">
        <v>0</v>
      </c>
      <c r="B14" s="166" t="s">
        <v>1</v>
      </c>
      <c r="C14" s="167">
        <v>928</v>
      </c>
      <c r="D14" s="168" t="s">
        <v>79</v>
      </c>
      <c r="E14" s="168"/>
      <c r="F14" s="167"/>
      <c r="G14" s="60"/>
      <c r="H14" s="201">
        <f>H15+H23</f>
        <v>3355</v>
      </c>
      <c r="I14" s="167">
        <f>I15</f>
        <v>0</v>
      </c>
      <c r="J14" s="168">
        <f>J15+J23</f>
        <v>3354.6000000000004</v>
      </c>
      <c r="K14" s="202">
        <f>J14/H14*100</f>
        <v>99.98807749627423</v>
      </c>
    </row>
    <row r="15" spans="1:11" ht="45.75" thickBot="1">
      <c r="A15" s="144" t="s">
        <v>2</v>
      </c>
      <c r="B15" s="145" t="s">
        <v>3</v>
      </c>
      <c r="C15" s="146">
        <v>928</v>
      </c>
      <c r="D15" s="147" t="s">
        <v>78</v>
      </c>
      <c r="E15" s="147"/>
      <c r="F15" s="146"/>
      <c r="G15" s="59"/>
      <c r="H15" s="212">
        <f>H16</f>
        <v>1263.3</v>
      </c>
      <c r="I15" s="147">
        <f>I16</f>
        <v>0</v>
      </c>
      <c r="J15" s="147">
        <f>J16</f>
        <v>1263.2</v>
      </c>
      <c r="K15" s="200">
        <f>J15/H15*100</f>
        <v>99.99208422385816</v>
      </c>
    </row>
    <row r="16" spans="1:11" ht="13.5" thickBot="1">
      <c r="A16" s="148" t="s">
        <v>4</v>
      </c>
      <c r="B16" s="149" t="s">
        <v>5</v>
      </c>
      <c r="C16" s="150">
        <v>928</v>
      </c>
      <c r="D16" s="151" t="s">
        <v>78</v>
      </c>
      <c r="E16" s="151" t="s">
        <v>165</v>
      </c>
      <c r="F16" s="150"/>
      <c r="G16" s="59" t="s">
        <v>81</v>
      </c>
      <c r="H16" s="186">
        <f>H22</f>
        <v>1263.3</v>
      </c>
      <c r="I16" s="150">
        <f>I22</f>
        <v>0</v>
      </c>
      <c r="J16" s="150">
        <f>J22</f>
        <v>1263.2</v>
      </c>
      <c r="K16" s="186">
        <f>J16/H16*100</f>
        <v>99.99208422385816</v>
      </c>
    </row>
    <row r="17" spans="1:11" ht="68.25" hidden="1" thickBot="1">
      <c r="A17" s="26" t="s">
        <v>105</v>
      </c>
      <c r="B17" s="8" t="s">
        <v>104</v>
      </c>
      <c r="C17" s="25">
        <v>928</v>
      </c>
      <c r="D17" s="26" t="s">
        <v>78</v>
      </c>
      <c r="E17" s="15" t="s">
        <v>165</v>
      </c>
      <c r="F17" s="25">
        <v>100</v>
      </c>
      <c r="G17" s="59"/>
      <c r="H17" s="64">
        <f>H18+H20</f>
        <v>1219.1</v>
      </c>
      <c r="I17" s="61"/>
      <c r="J17" s="61"/>
      <c r="K17" s="186">
        <f aca="true" t="shared" si="0" ref="K17:K22">J17/H17*100</f>
        <v>0</v>
      </c>
    </row>
    <row r="18" spans="1:11" ht="23.25" hidden="1" thickBot="1">
      <c r="A18" s="26"/>
      <c r="B18" s="9" t="s">
        <v>6</v>
      </c>
      <c r="C18" s="25">
        <v>928</v>
      </c>
      <c r="D18" s="26" t="s">
        <v>78</v>
      </c>
      <c r="E18" s="1" t="s">
        <v>165</v>
      </c>
      <c r="F18" s="25">
        <v>120</v>
      </c>
      <c r="G18" s="59"/>
      <c r="H18" s="64">
        <f>H19</f>
        <v>942.5</v>
      </c>
      <c r="I18" s="61"/>
      <c r="J18" s="61"/>
      <c r="K18" s="186">
        <f t="shared" si="0"/>
        <v>0</v>
      </c>
    </row>
    <row r="19" spans="1:11" ht="23.25" hidden="1" thickBot="1">
      <c r="A19" s="26"/>
      <c r="B19" s="9" t="s">
        <v>206</v>
      </c>
      <c r="C19" s="25">
        <v>928</v>
      </c>
      <c r="D19" s="26" t="s">
        <v>78</v>
      </c>
      <c r="E19" s="1" t="s">
        <v>165</v>
      </c>
      <c r="F19" s="25">
        <v>121</v>
      </c>
      <c r="G19" s="59">
        <v>211</v>
      </c>
      <c r="H19" s="64">
        <v>942.5</v>
      </c>
      <c r="I19" s="61"/>
      <c r="J19" s="61"/>
      <c r="K19" s="186">
        <f t="shared" si="0"/>
        <v>0</v>
      </c>
    </row>
    <row r="20" spans="1:11" ht="13.5" hidden="1" thickBot="1">
      <c r="A20" s="26"/>
      <c r="B20" s="9" t="s">
        <v>202</v>
      </c>
      <c r="C20" s="25">
        <v>928</v>
      </c>
      <c r="D20" s="26" t="s">
        <v>78</v>
      </c>
      <c r="E20" s="1" t="s">
        <v>165</v>
      </c>
      <c r="F20" s="25">
        <v>121</v>
      </c>
      <c r="G20" s="59"/>
      <c r="H20" s="64">
        <f>H21</f>
        <v>276.6</v>
      </c>
      <c r="I20" s="61"/>
      <c r="J20" s="61"/>
      <c r="K20" s="186">
        <f t="shared" si="0"/>
        <v>0</v>
      </c>
    </row>
    <row r="21" spans="1:12" ht="57" hidden="1" thickBot="1">
      <c r="A21" s="26"/>
      <c r="B21" s="9" t="s">
        <v>205</v>
      </c>
      <c r="C21" s="25">
        <v>928</v>
      </c>
      <c r="D21" s="26" t="s">
        <v>78</v>
      </c>
      <c r="E21" s="1" t="s">
        <v>165</v>
      </c>
      <c r="F21" s="25">
        <v>129</v>
      </c>
      <c r="G21" s="59">
        <v>213</v>
      </c>
      <c r="H21" s="64">
        <f>260.6+16</f>
        <v>276.6</v>
      </c>
      <c r="I21" s="61"/>
      <c r="J21" s="61"/>
      <c r="K21" s="186">
        <f t="shared" si="0"/>
        <v>0</v>
      </c>
      <c r="L21">
        <v>16</v>
      </c>
    </row>
    <row r="22" spans="1:11" ht="68.25" thickBot="1">
      <c r="A22" s="26" t="s">
        <v>519</v>
      </c>
      <c r="B22" s="8" t="s">
        <v>104</v>
      </c>
      <c r="C22" s="25">
        <v>928</v>
      </c>
      <c r="D22" s="26" t="s">
        <v>78</v>
      </c>
      <c r="E22" s="20" t="s">
        <v>165</v>
      </c>
      <c r="F22" s="25">
        <v>100</v>
      </c>
      <c r="G22" s="60"/>
      <c r="H22" s="62">
        <v>1263.3</v>
      </c>
      <c r="I22" s="61"/>
      <c r="J22" s="61">
        <v>1263.2</v>
      </c>
      <c r="K22" s="217">
        <f t="shared" si="0"/>
        <v>99.99208422385816</v>
      </c>
    </row>
    <row r="23" spans="1:11" ht="58.5" customHeight="1" thickBot="1">
      <c r="A23" s="144" t="s">
        <v>7</v>
      </c>
      <c r="B23" s="152" t="s">
        <v>8</v>
      </c>
      <c r="C23" s="146">
        <v>928</v>
      </c>
      <c r="D23" s="147" t="s">
        <v>80</v>
      </c>
      <c r="E23" s="147"/>
      <c r="F23" s="146"/>
      <c r="G23" s="59"/>
      <c r="H23" s="146">
        <f>H24+H29+H46</f>
        <v>2091.7000000000003</v>
      </c>
      <c r="I23" s="146">
        <f>I24+I29+I46</f>
        <v>0</v>
      </c>
      <c r="J23" s="146">
        <f>J24+J29+J46</f>
        <v>2091.4</v>
      </c>
      <c r="K23" s="200">
        <f>J23/H23*100</f>
        <v>99.98565759908207</v>
      </c>
    </row>
    <row r="24" spans="1:11" ht="23.25" thickBot="1">
      <c r="A24" s="148" t="s">
        <v>102</v>
      </c>
      <c r="B24" s="153" t="s">
        <v>10</v>
      </c>
      <c r="C24" s="150">
        <v>928</v>
      </c>
      <c r="D24" s="151" t="s">
        <v>80</v>
      </c>
      <c r="E24" s="151" t="s">
        <v>166</v>
      </c>
      <c r="F24" s="150"/>
      <c r="G24" s="59"/>
      <c r="H24" s="150">
        <f>H28</f>
        <v>187.2</v>
      </c>
      <c r="I24" s="150">
        <f>I28</f>
        <v>0</v>
      </c>
      <c r="J24" s="150">
        <f>J28</f>
        <v>187.2</v>
      </c>
      <c r="K24" s="186">
        <f>J24/H24*100</f>
        <v>100</v>
      </c>
    </row>
    <row r="25" spans="1:11" ht="67.5" hidden="1">
      <c r="A25" s="26" t="s">
        <v>106</v>
      </c>
      <c r="B25" s="33" t="s">
        <v>104</v>
      </c>
      <c r="C25" s="25">
        <v>928</v>
      </c>
      <c r="D25" s="26" t="s">
        <v>80</v>
      </c>
      <c r="E25" s="15" t="s">
        <v>166</v>
      </c>
      <c r="F25" s="25">
        <v>100</v>
      </c>
      <c r="G25" s="59"/>
      <c r="H25" s="64">
        <f>H26</f>
        <v>280.8</v>
      </c>
      <c r="I25" s="61"/>
      <c r="J25" s="61"/>
      <c r="K25" s="62"/>
    </row>
    <row r="26" spans="1:11" ht="22.5" hidden="1">
      <c r="A26" s="26"/>
      <c r="B26" s="9" t="s">
        <v>6</v>
      </c>
      <c r="C26" s="25">
        <v>928</v>
      </c>
      <c r="D26" s="26" t="s">
        <v>80</v>
      </c>
      <c r="E26" s="4" t="s">
        <v>166</v>
      </c>
      <c r="F26" s="25">
        <v>120</v>
      </c>
      <c r="G26" s="59"/>
      <c r="H26" s="64">
        <f>H27</f>
        <v>280.8</v>
      </c>
      <c r="I26" s="61"/>
      <c r="J26" s="61"/>
      <c r="K26" s="62"/>
    </row>
    <row r="27" spans="1:11" ht="56.25" hidden="1">
      <c r="A27" s="26"/>
      <c r="B27" s="9" t="s">
        <v>231</v>
      </c>
      <c r="C27" s="25">
        <v>928</v>
      </c>
      <c r="D27" s="26" t="s">
        <v>80</v>
      </c>
      <c r="E27" s="1" t="s">
        <v>166</v>
      </c>
      <c r="F27" s="25">
        <v>123</v>
      </c>
      <c r="G27" s="59">
        <v>226</v>
      </c>
      <c r="H27" s="64">
        <f>285.8-5</f>
        <v>280.8</v>
      </c>
      <c r="I27" s="61"/>
      <c r="J27" s="61"/>
      <c r="K27" s="62">
        <v>2</v>
      </c>
    </row>
    <row r="28" spans="1:11" ht="68.25" thickBot="1">
      <c r="A28" s="26" t="s">
        <v>520</v>
      </c>
      <c r="B28" s="33" t="s">
        <v>104</v>
      </c>
      <c r="C28" s="25">
        <v>928</v>
      </c>
      <c r="D28" s="26" t="s">
        <v>80</v>
      </c>
      <c r="E28" s="20" t="s">
        <v>166</v>
      </c>
      <c r="F28" s="25">
        <v>100</v>
      </c>
      <c r="G28" s="59"/>
      <c r="H28" s="64">
        <v>187.2</v>
      </c>
      <c r="I28" s="61"/>
      <c r="J28" s="61">
        <v>187.2</v>
      </c>
      <c r="K28" s="62">
        <f>J28/H28*100</f>
        <v>100</v>
      </c>
    </row>
    <row r="29" spans="1:11" ht="23.25" thickBot="1">
      <c r="A29" s="148" t="s">
        <v>9</v>
      </c>
      <c r="B29" s="153" t="s">
        <v>12</v>
      </c>
      <c r="C29" s="150">
        <v>928</v>
      </c>
      <c r="D29" s="151" t="s">
        <v>80</v>
      </c>
      <c r="E29" s="151" t="s">
        <v>168</v>
      </c>
      <c r="F29" s="150"/>
      <c r="G29" s="59"/>
      <c r="H29" s="150">
        <f>H35+H45</f>
        <v>1831.9</v>
      </c>
      <c r="I29" s="150">
        <f>I35+I45</f>
        <v>0</v>
      </c>
      <c r="J29" s="150">
        <f>J35+J45</f>
        <v>1831.6</v>
      </c>
      <c r="K29" s="186">
        <f>J29/H29*100</f>
        <v>99.983623560238</v>
      </c>
    </row>
    <row r="30" spans="1:11" ht="67.5" hidden="1">
      <c r="A30" s="26" t="s">
        <v>11</v>
      </c>
      <c r="B30" s="33" t="s">
        <v>104</v>
      </c>
      <c r="C30" s="25">
        <v>928</v>
      </c>
      <c r="D30" s="26" t="s">
        <v>80</v>
      </c>
      <c r="E30" s="15" t="s">
        <v>168</v>
      </c>
      <c r="F30" s="25">
        <v>100</v>
      </c>
      <c r="G30" s="59"/>
      <c r="H30" s="64">
        <f>H31+H33</f>
        <v>1592.2</v>
      </c>
      <c r="I30" s="61"/>
      <c r="J30" s="61"/>
      <c r="K30" s="62"/>
    </row>
    <row r="31" spans="1:11" ht="22.5" hidden="1">
      <c r="A31" s="26"/>
      <c r="B31" s="9" t="s">
        <v>6</v>
      </c>
      <c r="C31" s="25">
        <v>928</v>
      </c>
      <c r="D31" s="26" t="s">
        <v>80</v>
      </c>
      <c r="E31" s="1" t="s">
        <v>168</v>
      </c>
      <c r="F31" s="25">
        <v>120</v>
      </c>
      <c r="G31" s="59"/>
      <c r="H31" s="64">
        <f>H32</f>
        <v>1166</v>
      </c>
      <c r="I31" s="61"/>
      <c r="J31" s="61"/>
      <c r="K31" s="62"/>
    </row>
    <row r="32" spans="1:11" ht="22.5" hidden="1">
      <c r="A32" s="26"/>
      <c r="B32" s="9" t="s">
        <v>206</v>
      </c>
      <c r="C32" s="25">
        <v>928</v>
      </c>
      <c r="D32" s="26" t="s">
        <v>80</v>
      </c>
      <c r="E32" s="1" t="s">
        <v>168</v>
      </c>
      <c r="F32" s="25">
        <v>121</v>
      </c>
      <c r="G32" s="59">
        <v>211</v>
      </c>
      <c r="H32" s="64">
        <f>1093.3+72.7</f>
        <v>1166</v>
      </c>
      <c r="I32" s="61"/>
      <c r="J32" s="61"/>
      <c r="K32" s="62"/>
    </row>
    <row r="33" spans="1:11" ht="12.75" hidden="1">
      <c r="A33" s="26"/>
      <c r="B33" s="9" t="s">
        <v>202</v>
      </c>
      <c r="C33" s="25">
        <v>928</v>
      </c>
      <c r="D33" s="26" t="s">
        <v>80</v>
      </c>
      <c r="E33" s="1" t="s">
        <v>168</v>
      </c>
      <c r="F33" s="25">
        <v>129</v>
      </c>
      <c r="G33" s="59"/>
      <c r="H33" s="64">
        <f>H34</f>
        <v>426.2</v>
      </c>
      <c r="I33" s="61"/>
      <c r="J33" s="61"/>
      <c r="K33" s="62"/>
    </row>
    <row r="34" spans="1:11" ht="21.75" customHeight="1" hidden="1">
      <c r="A34" s="26"/>
      <c r="B34" s="9" t="s">
        <v>205</v>
      </c>
      <c r="C34" s="25">
        <v>928</v>
      </c>
      <c r="D34" s="26" t="s">
        <v>80</v>
      </c>
      <c r="E34" s="1" t="s">
        <v>168</v>
      </c>
      <c r="F34" s="25">
        <v>129</v>
      </c>
      <c r="G34" s="59">
        <v>213</v>
      </c>
      <c r="H34" s="64">
        <f>330.2+22+74</f>
        <v>426.2</v>
      </c>
      <c r="I34" s="61"/>
      <c r="J34" s="61"/>
      <c r="K34" s="62"/>
    </row>
    <row r="35" spans="1:11" ht="67.5">
      <c r="A35" s="26" t="s">
        <v>517</v>
      </c>
      <c r="B35" s="33" t="s">
        <v>104</v>
      </c>
      <c r="C35" s="25">
        <v>928</v>
      </c>
      <c r="D35" s="26" t="s">
        <v>80</v>
      </c>
      <c r="E35" s="1" t="s">
        <v>168</v>
      </c>
      <c r="F35" s="25">
        <v>100</v>
      </c>
      <c r="G35" s="59"/>
      <c r="H35" s="64">
        <v>1520.2</v>
      </c>
      <c r="I35" s="61"/>
      <c r="J35" s="61">
        <f>1198.6+321.5</f>
        <v>1520.1</v>
      </c>
      <c r="K35" s="62">
        <f>J35/H35*100</f>
        <v>99.99342191816865</v>
      </c>
    </row>
    <row r="36" spans="1:11" ht="22.5" hidden="1">
      <c r="A36" s="21" t="s">
        <v>200</v>
      </c>
      <c r="B36" s="9" t="s">
        <v>6</v>
      </c>
      <c r="C36" s="22">
        <v>928</v>
      </c>
      <c r="D36" s="21" t="s">
        <v>80</v>
      </c>
      <c r="E36" s="4" t="s">
        <v>168</v>
      </c>
      <c r="F36" s="22">
        <v>200</v>
      </c>
      <c r="G36" s="59"/>
      <c r="H36" s="64">
        <f>H37+H39</f>
        <v>364.29999999999995</v>
      </c>
      <c r="I36" s="61"/>
      <c r="J36" s="61"/>
      <c r="K36" s="62">
        <f aca="true" t="shared" si="1" ref="K36:K80">J36/H36*100</f>
        <v>0</v>
      </c>
    </row>
    <row r="37" spans="1:11" ht="22.5" hidden="1">
      <c r="A37" s="21"/>
      <c r="B37" s="9" t="s">
        <v>206</v>
      </c>
      <c r="C37" s="22">
        <v>928</v>
      </c>
      <c r="D37" s="21" t="s">
        <v>80</v>
      </c>
      <c r="E37" s="1" t="s">
        <v>168</v>
      </c>
      <c r="F37" s="22">
        <v>240</v>
      </c>
      <c r="G37" s="59"/>
      <c r="H37" s="64">
        <f>H38</f>
        <v>34</v>
      </c>
      <c r="I37" s="61"/>
      <c r="J37" s="61"/>
      <c r="K37" s="62">
        <f t="shared" si="1"/>
        <v>0</v>
      </c>
    </row>
    <row r="38" spans="1:11" ht="12.75" hidden="1">
      <c r="A38" s="21"/>
      <c r="B38" s="9" t="s">
        <v>202</v>
      </c>
      <c r="C38" s="22">
        <v>928</v>
      </c>
      <c r="D38" s="21" t="s">
        <v>80</v>
      </c>
      <c r="E38" s="1" t="s">
        <v>168</v>
      </c>
      <c r="F38" s="22">
        <v>242</v>
      </c>
      <c r="G38" s="59">
        <v>221</v>
      </c>
      <c r="H38" s="64">
        <f>200-166</f>
        <v>34</v>
      </c>
      <c r="I38" s="61"/>
      <c r="J38" s="61"/>
      <c r="K38" s="62">
        <f t="shared" si="1"/>
        <v>0</v>
      </c>
    </row>
    <row r="39" spans="1:11" ht="56.25" hidden="1">
      <c r="A39" s="21"/>
      <c r="B39" s="9" t="s">
        <v>205</v>
      </c>
      <c r="C39" s="22">
        <v>928</v>
      </c>
      <c r="D39" s="21" t="s">
        <v>80</v>
      </c>
      <c r="E39" s="1" t="s">
        <v>168</v>
      </c>
      <c r="F39" s="22">
        <v>242</v>
      </c>
      <c r="G39" s="59"/>
      <c r="H39" s="65">
        <f>H40+H41+H42+H43+H44</f>
        <v>330.29999999999995</v>
      </c>
      <c r="I39" s="61"/>
      <c r="J39" s="61"/>
      <c r="K39" s="62">
        <f t="shared" si="1"/>
        <v>0</v>
      </c>
    </row>
    <row r="40" spans="1:11" ht="10.5" customHeight="1" hidden="1">
      <c r="A40" s="21"/>
      <c r="B40" s="9" t="s">
        <v>203</v>
      </c>
      <c r="C40" s="22">
        <v>928</v>
      </c>
      <c r="D40" s="21" t="s">
        <v>80</v>
      </c>
      <c r="E40" s="17" t="s">
        <v>168</v>
      </c>
      <c r="F40" s="22">
        <v>244</v>
      </c>
      <c r="G40" s="59">
        <v>223</v>
      </c>
      <c r="H40" s="65">
        <f>114+21.2</f>
        <v>135.2</v>
      </c>
      <c r="I40" s="61"/>
      <c r="J40" s="61"/>
      <c r="K40" s="62">
        <f t="shared" si="1"/>
        <v>0</v>
      </c>
    </row>
    <row r="41" spans="1:11" ht="22.5" hidden="1">
      <c r="A41" s="13"/>
      <c r="B41" s="169" t="s">
        <v>24</v>
      </c>
      <c r="C41" s="22">
        <v>928</v>
      </c>
      <c r="D41" s="13" t="s">
        <v>80</v>
      </c>
      <c r="E41" s="1" t="s">
        <v>168</v>
      </c>
      <c r="F41" s="14">
        <v>244</v>
      </c>
      <c r="G41" s="59">
        <v>225</v>
      </c>
      <c r="H41" s="65">
        <f>30+99.2</f>
        <v>129.2</v>
      </c>
      <c r="I41" s="61"/>
      <c r="J41" s="61"/>
      <c r="K41" s="62">
        <f t="shared" si="1"/>
        <v>0</v>
      </c>
    </row>
    <row r="42" spans="1:12" ht="12.75" hidden="1">
      <c r="A42" s="21"/>
      <c r="B42" s="34" t="s">
        <v>209</v>
      </c>
      <c r="C42" s="22">
        <v>928</v>
      </c>
      <c r="D42" s="13" t="s">
        <v>80</v>
      </c>
      <c r="E42" s="1" t="s">
        <v>168</v>
      </c>
      <c r="F42" s="14">
        <v>244</v>
      </c>
      <c r="G42" s="59">
        <v>226</v>
      </c>
      <c r="H42" s="65">
        <f>56+54-45.6</f>
        <v>64.4</v>
      </c>
      <c r="I42" s="61"/>
      <c r="J42" s="61"/>
      <c r="K42" s="62">
        <f t="shared" si="1"/>
        <v>0</v>
      </c>
      <c r="L42">
        <v>-45.6</v>
      </c>
    </row>
    <row r="43" spans="1:12" ht="12.75" hidden="1">
      <c r="A43" s="21"/>
      <c r="B43" s="34" t="s">
        <v>204</v>
      </c>
      <c r="C43" s="22">
        <v>928</v>
      </c>
      <c r="D43" s="21" t="s">
        <v>80</v>
      </c>
      <c r="E43" s="1" t="s">
        <v>168</v>
      </c>
      <c r="F43" s="22">
        <v>244</v>
      </c>
      <c r="G43" s="59">
        <v>310</v>
      </c>
      <c r="H43" s="65">
        <f>20-18.5</f>
        <v>1.5</v>
      </c>
      <c r="I43" s="61"/>
      <c r="J43" s="61"/>
      <c r="K43" s="62">
        <f t="shared" si="1"/>
        <v>0</v>
      </c>
      <c r="L43">
        <v>-18.5</v>
      </c>
    </row>
    <row r="44" spans="1:12" ht="12.75" hidden="1">
      <c r="A44" s="21"/>
      <c r="B44" s="34" t="s">
        <v>214</v>
      </c>
      <c r="C44" s="22">
        <v>928</v>
      </c>
      <c r="D44" s="21" t="s">
        <v>80</v>
      </c>
      <c r="E44" s="1" t="s">
        <v>168</v>
      </c>
      <c r="F44" s="22">
        <v>244</v>
      </c>
      <c r="G44" s="59">
        <v>340</v>
      </c>
      <c r="H44" s="65">
        <f>100+4.5-104.5</f>
        <v>0</v>
      </c>
      <c r="I44" s="61"/>
      <c r="J44" s="61"/>
      <c r="K44" s="62" t="e">
        <f t="shared" si="1"/>
        <v>#DIV/0!</v>
      </c>
      <c r="L44">
        <v>-104.5</v>
      </c>
    </row>
    <row r="45" spans="1:11" ht="23.25" customHeight="1" thickBot="1">
      <c r="A45" s="13" t="s">
        <v>200</v>
      </c>
      <c r="B45" s="169" t="s">
        <v>24</v>
      </c>
      <c r="C45" s="14">
        <v>928</v>
      </c>
      <c r="D45" s="13" t="s">
        <v>80</v>
      </c>
      <c r="E45" s="18" t="s">
        <v>168</v>
      </c>
      <c r="F45" s="14">
        <v>200</v>
      </c>
      <c r="G45" s="59"/>
      <c r="H45" s="64">
        <v>311.7</v>
      </c>
      <c r="I45" s="61"/>
      <c r="J45" s="62">
        <f>291.9+19.6</f>
        <v>311.5</v>
      </c>
      <c r="K45" s="62">
        <f t="shared" si="1"/>
        <v>99.9358357394931</v>
      </c>
    </row>
    <row r="46" spans="1:11" ht="22.5" customHeight="1" thickBot="1">
      <c r="A46" s="148" t="s">
        <v>103</v>
      </c>
      <c r="B46" s="153" t="s">
        <v>13</v>
      </c>
      <c r="C46" s="150">
        <v>928</v>
      </c>
      <c r="D46" s="151" t="s">
        <v>80</v>
      </c>
      <c r="E46" s="151" t="s">
        <v>167</v>
      </c>
      <c r="F46" s="150"/>
      <c r="G46" s="59"/>
      <c r="H46" s="150">
        <f>H47</f>
        <v>72.6</v>
      </c>
      <c r="I46" s="150"/>
      <c r="J46" s="150">
        <f>J47</f>
        <v>72.6</v>
      </c>
      <c r="K46" s="186">
        <f t="shared" si="1"/>
        <v>100</v>
      </c>
    </row>
    <row r="47" spans="1:11" ht="13.5" thickBot="1">
      <c r="A47" s="26" t="s">
        <v>210</v>
      </c>
      <c r="B47" s="33" t="s">
        <v>108</v>
      </c>
      <c r="C47" s="25">
        <v>928</v>
      </c>
      <c r="D47" s="26" t="s">
        <v>80</v>
      </c>
      <c r="E47" s="16" t="s">
        <v>167</v>
      </c>
      <c r="F47" s="25">
        <v>800</v>
      </c>
      <c r="G47" s="59"/>
      <c r="H47" s="64">
        <v>72.6</v>
      </c>
      <c r="I47" s="61"/>
      <c r="J47" s="62">
        <v>72.6</v>
      </c>
      <c r="K47" s="62">
        <f t="shared" si="1"/>
        <v>100</v>
      </c>
    </row>
    <row r="48" spans="1:11" ht="45.75" thickBot="1">
      <c r="A48" s="140"/>
      <c r="B48" s="154" t="s">
        <v>253</v>
      </c>
      <c r="C48" s="142">
        <v>966</v>
      </c>
      <c r="D48" s="143"/>
      <c r="E48" s="143"/>
      <c r="F48" s="142"/>
      <c r="G48" s="59">
        <v>290</v>
      </c>
      <c r="H48" s="203">
        <f>H49+H110+H114+H139+H144+H150+H159+H166</f>
        <v>126699.80000000003</v>
      </c>
      <c r="I48" s="203" t="e">
        <f>I49+I110+I114+I139+I144+I150+I159+I166</f>
        <v>#REF!</v>
      </c>
      <c r="J48" s="203">
        <f>J49+J110+J114+J139+J144+J150+J159+J166</f>
        <v>116776.6</v>
      </c>
      <c r="K48" s="203">
        <f t="shared" si="1"/>
        <v>92.16794343795331</v>
      </c>
    </row>
    <row r="49" spans="1:11" ht="13.5" thickBot="1">
      <c r="A49" s="159" t="s">
        <v>219</v>
      </c>
      <c r="B49" s="160" t="s">
        <v>1</v>
      </c>
      <c r="C49" s="161">
        <v>966</v>
      </c>
      <c r="D49" s="162" t="s">
        <v>79</v>
      </c>
      <c r="E49" s="162"/>
      <c r="F49" s="162"/>
      <c r="G49" s="162"/>
      <c r="H49" s="198">
        <f>H50+H70+H75</f>
        <v>28707.1</v>
      </c>
      <c r="I49" s="198" t="e">
        <f>I50+I70+I75</f>
        <v>#REF!</v>
      </c>
      <c r="J49" s="198">
        <f>J50+J70+J75</f>
        <v>28706.000000000004</v>
      </c>
      <c r="K49" s="198">
        <f t="shared" si="1"/>
        <v>99.99616819532451</v>
      </c>
    </row>
    <row r="50" spans="1:11" ht="57" thickBot="1">
      <c r="A50" s="144" t="s">
        <v>15</v>
      </c>
      <c r="B50" s="152" t="s">
        <v>16</v>
      </c>
      <c r="C50" s="146">
        <v>966</v>
      </c>
      <c r="D50" s="147" t="s">
        <v>83</v>
      </c>
      <c r="E50" s="147"/>
      <c r="F50" s="146"/>
      <c r="G50" s="59"/>
      <c r="H50" s="200">
        <f>H51+H53+H65+H67</f>
        <v>25109.699999999997</v>
      </c>
      <c r="I50" s="146" t="e">
        <f>I51</f>
        <v>#REF!</v>
      </c>
      <c r="J50" s="200">
        <f>J51+J53+J65+J67</f>
        <v>25108.800000000003</v>
      </c>
      <c r="K50" s="200">
        <f t="shared" si="1"/>
        <v>99.9964157277865</v>
      </c>
    </row>
    <row r="51" spans="1:11" ht="13.5" thickBot="1">
      <c r="A51" s="148" t="s">
        <v>17</v>
      </c>
      <c r="B51" s="153" t="s">
        <v>18</v>
      </c>
      <c r="C51" s="150">
        <v>966</v>
      </c>
      <c r="D51" s="151" t="s">
        <v>83</v>
      </c>
      <c r="E51" s="151" t="s">
        <v>169</v>
      </c>
      <c r="F51" s="150"/>
      <c r="G51" s="59"/>
      <c r="H51" s="186">
        <f>H52</f>
        <v>1281.1</v>
      </c>
      <c r="I51" s="150" t="e">
        <f>I52+I54</f>
        <v>#REF!</v>
      </c>
      <c r="J51" s="186">
        <f>J52</f>
        <v>1280.9</v>
      </c>
      <c r="K51" s="186">
        <f t="shared" si="1"/>
        <v>99.98438841620484</v>
      </c>
    </row>
    <row r="52" spans="1:11" ht="68.25" thickBot="1">
      <c r="A52" s="26" t="s">
        <v>19</v>
      </c>
      <c r="B52" s="33" t="s">
        <v>104</v>
      </c>
      <c r="C52" s="12">
        <v>966</v>
      </c>
      <c r="D52" s="4" t="s">
        <v>83</v>
      </c>
      <c r="E52" s="4" t="s">
        <v>169</v>
      </c>
      <c r="F52" s="12">
        <v>100</v>
      </c>
      <c r="G52" s="59"/>
      <c r="H52" s="64">
        <v>1281.1</v>
      </c>
      <c r="I52" s="64" t="e">
        <f>#REF!</f>
        <v>#REF!</v>
      </c>
      <c r="J52" s="64">
        <f>942.4+338.5</f>
        <v>1280.9</v>
      </c>
      <c r="K52" s="62">
        <f t="shared" si="1"/>
        <v>99.98438841620484</v>
      </c>
    </row>
    <row r="53" spans="1:11" ht="34.5" thickBot="1">
      <c r="A53" s="148" t="s">
        <v>20</v>
      </c>
      <c r="B53" s="153" t="s">
        <v>21</v>
      </c>
      <c r="C53" s="150">
        <v>966</v>
      </c>
      <c r="D53" s="151" t="s">
        <v>83</v>
      </c>
      <c r="E53" s="151" t="s">
        <v>170</v>
      </c>
      <c r="F53" s="150"/>
      <c r="G53" s="59">
        <v>213</v>
      </c>
      <c r="H53" s="186">
        <f>H54+H55+H64</f>
        <v>19694.399999999998</v>
      </c>
      <c r="I53" s="186" t="e">
        <f>I54+I55+I64</f>
        <v>#REF!</v>
      </c>
      <c r="J53" s="186">
        <f>J54+J55+J64</f>
        <v>19693.7</v>
      </c>
      <c r="K53" s="186">
        <f t="shared" si="1"/>
        <v>99.99644569014544</v>
      </c>
    </row>
    <row r="54" spans="1:11" ht="67.5">
      <c r="A54" s="21" t="s">
        <v>22</v>
      </c>
      <c r="B54" s="19" t="s">
        <v>104</v>
      </c>
      <c r="C54" s="130">
        <v>966</v>
      </c>
      <c r="D54" s="131" t="s">
        <v>83</v>
      </c>
      <c r="E54" s="16" t="s">
        <v>170</v>
      </c>
      <c r="F54" s="130">
        <v>100</v>
      </c>
      <c r="G54" s="59"/>
      <c r="H54" s="64">
        <v>17613</v>
      </c>
      <c r="I54" s="64" t="e">
        <f>I55+I64+#REF!+#REF!+#REF!+I73+I74</f>
        <v>#REF!</v>
      </c>
      <c r="J54" s="64">
        <f>13571+3991.8+49.9</f>
        <v>17612.7</v>
      </c>
      <c r="K54" s="62">
        <f t="shared" si="1"/>
        <v>99.99829671265543</v>
      </c>
    </row>
    <row r="55" spans="1:11" ht="22.5">
      <c r="A55" s="134" t="s">
        <v>23</v>
      </c>
      <c r="B55" s="24" t="s">
        <v>24</v>
      </c>
      <c r="C55" s="11">
        <v>966</v>
      </c>
      <c r="D55" s="1" t="s">
        <v>83</v>
      </c>
      <c r="E55" s="1" t="s">
        <v>170</v>
      </c>
      <c r="F55" s="11">
        <v>200</v>
      </c>
      <c r="G55" s="59"/>
      <c r="H55" s="64">
        <v>1989.3</v>
      </c>
      <c r="I55" s="61"/>
      <c r="J55" s="61">
        <f>1152.4+836.6</f>
        <v>1989</v>
      </c>
      <c r="K55" s="62">
        <f t="shared" si="1"/>
        <v>99.98491931835319</v>
      </c>
    </row>
    <row r="56" spans="1:11" ht="12.75" hidden="1">
      <c r="A56" s="26"/>
      <c r="B56" s="3" t="s">
        <v>108</v>
      </c>
      <c r="C56" s="11">
        <v>966</v>
      </c>
      <c r="D56" s="1" t="s">
        <v>83</v>
      </c>
      <c r="E56" s="1" t="s">
        <v>170</v>
      </c>
      <c r="F56" s="25">
        <v>121</v>
      </c>
      <c r="G56" s="59"/>
      <c r="H56" s="64">
        <f>H57+H59+H62</f>
        <v>19987.300000000003</v>
      </c>
      <c r="I56" s="61"/>
      <c r="J56" s="61"/>
      <c r="K56" s="62">
        <f t="shared" si="1"/>
        <v>0</v>
      </c>
    </row>
    <row r="57" spans="1:11" ht="22.5" hidden="1">
      <c r="A57" s="26"/>
      <c r="B57" s="24" t="s">
        <v>24</v>
      </c>
      <c r="C57" s="11">
        <v>966</v>
      </c>
      <c r="D57" s="1" t="s">
        <v>83</v>
      </c>
      <c r="E57" s="1" t="s">
        <v>170</v>
      </c>
      <c r="F57" s="25">
        <v>121</v>
      </c>
      <c r="G57" s="59"/>
      <c r="H57" s="64">
        <f>H58</f>
        <v>15247.4</v>
      </c>
      <c r="I57" s="61"/>
      <c r="J57" s="61"/>
      <c r="K57" s="62">
        <f t="shared" si="1"/>
        <v>0</v>
      </c>
    </row>
    <row r="58" spans="1:12" ht="12.75" hidden="1">
      <c r="A58" s="26"/>
      <c r="B58" s="3" t="s">
        <v>108</v>
      </c>
      <c r="C58" s="11"/>
      <c r="D58" s="1" t="s">
        <v>83</v>
      </c>
      <c r="E58" s="1" t="s">
        <v>170</v>
      </c>
      <c r="F58" s="25">
        <v>122</v>
      </c>
      <c r="G58" s="59">
        <v>211</v>
      </c>
      <c r="H58" s="64">
        <f>16221.4-58.8-915.2</f>
        <v>15247.4</v>
      </c>
      <c r="I58" s="61"/>
      <c r="J58" s="61"/>
      <c r="K58" s="62">
        <f t="shared" si="1"/>
        <v>0</v>
      </c>
      <c r="L58">
        <v>-915.2</v>
      </c>
    </row>
    <row r="59" spans="1:11" ht="22.5" hidden="1">
      <c r="A59" s="26"/>
      <c r="B59" s="24" t="s">
        <v>24</v>
      </c>
      <c r="C59" s="11"/>
      <c r="D59" s="1" t="s">
        <v>83</v>
      </c>
      <c r="E59" s="1" t="s">
        <v>170</v>
      </c>
      <c r="F59" s="25">
        <v>122</v>
      </c>
      <c r="G59" s="59"/>
      <c r="H59" s="64">
        <f>H60+H61</f>
        <v>135.2</v>
      </c>
      <c r="I59" s="61"/>
      <c r="J59" s="61"/>
      <c r="K59" s="62">
        <f t="shared" si="1"/>
        <v>0</v>
      </c>
    </row>
    <row r="60" spans="1:11" ht="12.75" hidden="1">
      <c r="A60" s="26"/>
      <c r="B60" s="3" t="s">
        <v>108</v>
      </c>
      <c r="C60" s="11">
        <v>966</v>
      </c>
      <c r="D60" s="1" t="s">
        <v>83</v>
      </c>
      <c r="E60" s="1" t="s">
        <v>170</v>
      </c>
      <c r="F60" s="25">
        <v>129</v>
      </c>
      <c r="G60" s="59">
        <v>212</v>
      </c>
      <c r="H60" s="64">
        <v>0.1</v>
      </c>
      <c r="I60" s="61"/>
      <c r="J60" s="61"/>
      <c r="K60" s="62">
        <f t="shared" si="1"/>
        <v>0</v>
      </c>
    </row>
    <row r="61" spans="1:12" ht="22.5" hidden="1">
      <c r="A61" s="26"/>
      <c r="B61" s="24" t="s">
        <v>24</v>
      </c>
      <c r="C61" s="11">
        <v>966</v>
      </c>
      <c r="D61" s="1" t="s">
        <v>83</v>
      </c>
      <c r="E61" s="1" t="s">
        <v>170</v>
      </c>
      <c r="F61" s="25">
        <v>129</v>
      </c>
      <c r="G61" s="59">
        <v>222</v>
      </c>
      <c r="H61" s="64">
        <f>220-84.9</f>
        <v>135.1</v>
      </c>
      <c r="I61" s="61" t="s">
        <v>241</v>
      </c>
      <c r="J61" s="61"/>
      <c r="K61" s="62">
        <f t="shared" si="1"/>
        <v>0</v>
      </c>
      <c r="L61">
        <v>-84.9</v>
      </c>
    </row>
    <row r="62" spans="1:11" ht="12.75" hidden="1">
      <c r="A62" s="21" t="s">
        <v>23</v>
      </c>
      <c r="B62" s="3" t="s">
        <v>108</v>
      </c>
      <c r="C62" s="11">
        <v>966</v>
      </c>
      <c r="D62" s="21" t="s">
        <v>83</v>
      </c>
      <c r="E62" s="1" t="s">
        <v>170</v>
      </c>
      <c r="F62" s="22">
        <v>200</v>
      </c>
      <c r="G62" s="59"/>
      <c r="H62" s="64">
        <f>H63</f>
        <v>4604.700000000001</v>
      </c>
      <c r="I62" s="61"/>
      <c r="J62" s="61"/>
      <c r="K62" s="62">
        <f t="shared" si="1"/>
        <v>0</v>
      </c>
    </row>
    <row r="63" spans="1:12" ht="6.75" customHeight="1" hidden="1">
      <c r="A63" s="1" t="s">
        <v>218</v>
      </c>
      <c r="B63" s="24" t="s">
        <v>24</v>
      </c>
      <c r="C63" s="11">
        <v>966</v>
      </c>
      <c r="D63" s="1" t="s">
        <v>83</v>
      </c>
      <c r="E63" s="1" t="s">
        <v>170</v>
      </c>
      <c r="F63" s="135">
        <v>800</v>
      </c>
      <c r="G63" s="59">
        <v>213</v>
      </c>
      <c r="H63" s="64">
        <f>4892.5-11.4-5.2-271.2</f>
        <v>4604.700000000001</v>
      </c>
      <c r="I63" s="61"/>
      <c r="J63" s="61"/>
      <c r="K63" s="62">
        <f t="shared" si="1"/>
        <v>0</v>
      </c>
      <c r="L63">
        <v>-271.2</v>
      </c>
    </row>
    <row r="64" spans="1:11" ht="13.5" thickBot="1">
      <c r="A64" s="134" t="s">
        <v>218</v>
      </c>
      <c r="B64" s="3" t="s">
        <v>108</v>
      </c>
      <c r="C64" s="11">
        <v>966</v>
      </c>
      <c r="D64" s="1" t="s">
        <v>83</v>
      </c>
      <c r="E64" s="1" t="s">
        <v>170</v>
      </c>
      <c r="F64" s="22">
        <v>800</v>
      </c>
      <c r="G64" s="59"/>
      <c r="H64" s="64">
        <v>92.1</v>
      </c>
      <c r="I64" s="61"/>
      <c r="J64" s="61">
        <f>90.5+0.5+1</f>
        <v>92</v>
      </c>
      <c r="K64" s="62">
        <f t="shared" si="1"/>
        <v>99.89142236699242</v>
      </c>
    </row>
    <row r="65" spans="1:11" ht="57" thickBot="1">
      <c r="A65" s="148" t="s">
        <v>220</v>
      </c>
      <c r="B65" s="153" t="s">
        <v>487</v>
      </c>
      <c r="C65" s="150">
        <v>966</v>
      </c>
      <c r="D65" s="151" t="s">
        <v>83</v>
      </c>
      <c r="E65" s="151" t="s">
        <v>223</v>
      </c>
      <c r="F65" s="150"/>
      <c r="G65" s="59"/>
      <c r="H65" s="186">
        <f>H66</f>
        <v>6.5</v>
      </c>
      <c r="I65" s="186">
        <f>I66</f>
        <v>0</v>
      </c>
      <c r="J65" s="186">
        <f>J66</f>
        <v>6.5</v>
      </c>
      <c r="K65" s="186">
        <f t="shared" si="1"/>
        <v>100</v>
      </c>
    </row>
    <row r="66" spans="1:11" ht="23.25" thickBot="1">
      <c r="A66" s="17" t="s">
        <v>221</v>
      </c>
      <c r="B66" s="170" t="s">
        <v>24</v>
      </c>
      <c r="C66" s="130">
        <v>966</v>
      </c>
      <c r="D66" s="131" t="s">
        <v>83</v>
      </c>
      <c r="E66" s="17" t="s">
        <v>223</v>
      </c>
      <c r="F66" s="130">
        <v>200</v>
      </c>
      <c r="G66" s="59">
        <v>221</v>
      </c>
      <c r="H66" s="64">
        <v>6.5</v>
      </c>
      <c r="I66" s="61"/>
      <c r="J66" s="61">
        <v>6.5</v>
      </c>
      <c r="K66" s="62">
        <f t="shared" si="1"/>
        <v>100</v>
      </c>
    </row>
    <row r="67" spans="1:11" ht="57" thickBot="1">
      <c r="A67" s="148" t="s">
        <v>94</v>
      </c>
      <c r="B67" s="153" t="s">
        <v>488</v>
      </c>
      <c r="C67" s="150"/>
      <c r="D67" s="151" t="s">
        <v>83</v>
      </c>
      <c r="E67" s="151" t="s">
        <v>224</v>
      </c>
      <c r="F67" s="150"/>
      <c r="G67" s="150">
        <f>G68+G69</f>
        <v>310</v>
      </c>
      <c r="H67" s="150">
        <f>H68+H69</f>
        <v>4127.7</v>
      </c>
      <c r="I67" s="150">
        <f>I68+I69</f>
        <v>0</v>
      </c>
      <c r="J67" s="150">
        <f>J68+J69</f>
        <v>4127.7</v>
      </c>
      <c r="K67" s="186">
        <f t="shared" si="1"/>
        <v>100</v>
      </c>
    </row>
    <row r="68" spans="1:11" ht="67.5">
      <c r="A68" s="4" t="s">
        <v>95</v>
      </c>
      <c r="B68" s="5" t="s">
        <v>104</v>
      </c>
      <c r="C68" s="12">
        <v>966</v>
      </c>
      <c r="D68" s="4" t="s">
        <v>83</v>
      </c>
      <c r="E68" s="4" t="s">
        <v>224</v>
      </c>
      <c r="F68" s="12">
        <v>100</v>
      </c>
      <c r="G68" s="59">
        <v>310</v>
      </c>
      <c r="H68" s="64">
        <v>3917.1</v>
      </c>
      <c r="I68" s="61"/>
      <c r="J68" s="61">
        <f>888+0.6+87.9+2940.6</f>
        <v>3917.1</v>
      </c>
      <c r="K68" s="62">
        <f t="shared" si="1"/>
        <v>100</v>
      </c>
    </row>
    <row r="69" spans="1:11" ht="23.25" thickBot="1">
      <c r="A69" s="4" t="s">
        <v>222</v>
      </c>
      <c r="B69" s="3" t="s">
        <v>24</v>
      </c>
      <c r="C69" s="11">
        <v>966</v>
      </c>
      <c r="D69" s="1" t="s">
        <v>83</v>
      </c>
      <c r="E69" s="4" t="s">
        <v>224</v>
      </c>
      <c r="F69" s="11">
        <v>200</v>
      </c>
      <c r="G69" s="59"/>
      <c r="H69" s="64">
        <v>210.6</v>
      </c>
      <c r="I69" s="61"/>
      <c r="J69" s="61">
        <f>13+53+95.8+48.8</f>
        <v>210.60000000000002</v>
      </c>
      <c r="K69" s="62">
        <f t="shared" si="1"/>
        <v>100.00000000000003</v>
      </c>
    </row>
    <row r="70" spans="1:11" ht="13.5" thickBot="1">
      <c r="A70" s="155" t="s">
        <v>25</v>
      </c>
      <c r="B70" s="156" t="s">
        <v>26</v>
      </c>
      <c r="C70" s="157">
        <v>966</v>
      </c>
      <c r="D70" s="158" t="s">
        <v>84</v>
      </c>
      <c r="E70" s="158"/>
      <c r="F70" s="157"/>
      <c r="G70" s="59"/>
      <c r="H70" s="157">
        <f>H71</f>
        <v>0</v>
      </c>
      <c r="I70" s="157"/>
      <c r="J70" s="157">
        <f>J71</f>
        <v>0</v>
      </c>
      <c r="K70" s="157" t="s">
        <v>434</v>
      </c>
    </row>
    <row r="71" spans="1:11" ht="13.5" thickBot="1">
      <c r="A71" s="148" t="s">
        <v>93</v>
      </c>
      <c r="B71" s="171" t="s">
        <v>27</v>
      </c>
      <c r="C71" s="150">
        <v>966</v>
      </c>
      <c r="D71" s="151" t="s">
        <v>84</v>
      </c>
      <c r="E71" s="151" t="s">
        <v>171</v>
      </c>
      <c r="F71" s="150"/>
      <c r="G71" s="59"/>
      <c r="H71" s="150">
        <f>H72</f>
        <v>0</v>
      </c>
      <c r="I71" s="150">
        <f>I72</f>
        <v>0</v>
      </c>
      <c r="J71" s="150">
        <f>J72</f>
        <v>0</v>
      </c>
      <c r="K71" s="150" t="s">
        <v>434</v>
      </c>
    </row>
    <row r="72" spans="1:11" ht="13.5" thickBot="1">
      <c r="A72" s="26" t="s">
        <v>28</v>
      </c>
      <c r="B72" s="172" t="s">
        <v>108</v>
      </c>
      <c r="C72" s="25">
        <v>966</v>
      </c>
      <c r="D72" s="26" t="s">
        <v>84</v>
      </c>
      <c r="E72" s="16" t="s">
        <v>171</v>
      </c>
      <c r="F72" s="25">
        <v>800</v>
      </c>
      <c r="G72" s="59">
        <v>340</v>
      </c>
      <c r="H72" s="64">
        <v>0</v>
      </c>
      <c r="I72" s="61"/>
      <c r="J72" s="61">
        <v>0</v>
      </c>
      <c r="K72" s="61" t="s">
        <v>434</v>
      </c>
    </row>
    <row r="73" spans="1:11" ht="13.5" hidden="1" thickBot="1">
      <c r="A73" s="21"/>
      <c r="B73" s="34" t="s">
        <v>29</v>
      </c>
      <c r="C73" s="22">
        <v>966</v>
      </c>
      <c r="D73" s="21" t="s">
        <v>84</v>
      </c>
      <c r="E73" s="1" t="s">
        <v>171</v>
      </c>
      <c r="F73" s="22">
        <v>870</v>
      </c>
      <c r="G73" s="59"/>
      <c r="H73" s="64">
        <v>0</v>
      </c>
      <c r="I73" s="61"/>
      <c r="J73" s="62">
        <v>0</v>
      </c>
      <c r="K73" s="61" t="e">
        <f t="shared" si="1"/>
        <v>#DIV/0!</v>
      </c>
    </row>
    <row r="74" spans="1:11" ht="13.5" hidden="1" thickBot="1">
      <c r="A74" s="23"/>
      <c r="B74" s="24" t="s">
        <v>199</v>
      </c>
      <c r="C74" s="11">
        <v>966</v>
      </c>
      <c r="D74" s="21" t="s">
        <v>84</v>
      </c>
      <c r="E74" s="20" t="s">
        <v>171</v>
      </c>
      <c r="F74" s="22">
        <v>870</v>
      </c>
      <c r="G74" s="59"/>
      <c r="H74" s="64">
        <v>0</v>
      </c>
      <c r="I74" s="61"/>
      <c r="J74" s="62">
        <v>0</v>
      </c>
      <c r="K74" s="61" t="e">
        <f t="shared" si="1"/>
        <v>#DIV/0!</v>
      </c>
    </row>
    <row r="75" spans="1:11" ht="13.5" thickBot="1">
      <c r="A75" s="155" t="s">
        <v>30</v>
      </c>
      <c r="B75" s="156" t="s">
        <v>13</v>
      </c>
      <c r="C75" s="157">
        <v>966</v>
      </c>
      <c r="D75" s="158" t="s">
        <v>82</v>
      </c>
      <c r="E75" s="158"/>
      <c r="F75" s="157"/>
      <c r="G75" s="59"/>
      <c r="H75" s="196">
        <f>H76+H81+H96+H98+H103+H105+H107</f>
        <v>3597.4</v>
      </c>
      <c r="I75" s="196">
        <f>I76+I81+I96+I98+I103+I105+I107</f>
        <v>0</v>
      </c>
      <c r="J75" s="196">
        <f>J76+J81+J96+J98+J103+J105+J107</f>
        <v>3597.2000000000003</v>
      </c>
      <c r="K75" s="196">
        <f t="shared" si="1"/>
        <v>99.99444042919887</v>
      </c>
    </row>
    <row r="76" spans="1:12" ht="57" thickBot="1">
      <c r="A76" s="186" t="s">
        <v>31</v>
      </c>
      <c r="B76" s="180" t="s">
        <v>490</v>
      </c>
      <c r="C76" s="186">
        <v>966</v>
      </c>
      <c r="D76" s="186" t="s">
        <v>82</v>
      </c>
      <c r="E76" s="186" t="s">
        <v>489</v>
      </c>
      <c r="F76" s="186"/>
      <c r="G76" s="186"/>
      <c r="H76" s="186">
        <f>H77</f>
        <v>30</v>
      </c>
      <c r="I76" s="186">
        <f>I77</f>
        <v>0</v>
      </c>
      <c r="J76" s="186">
        <f>J77</f>
        <v>30</v>
      </c>
      <c r="K76" s="186">
        <f t="shared" si="1"/>
        <v>100</v>
      </c>
      <c r="L76" s="213"/>
    </row>
    <row r="77" spans="1:11" ht="23.25" thickBot="1">
      <c r="A77" s="26" t="s">
        <v>32</v>
      </c>
      <c r="B77" s="169" t="s">
        <v>24</v>
      </c>
      <c r="C77" s="25">
        <v>966</v>
      </c>
      <c r="D77" s="26" t="s">
        <v>82</v>
      </c>
      <c r="E77" s="16" t="s">
        <v>489</v>
      </c>
      <c r="F77" s="25">
        <v>200</v>
      </c>
      <c r="G77" s="59">
        <v>211</v>
      </c>
      <c r="H77" s="64">
        <v>30</v>
      </c>
      <c r="I77" s="61"/>
      <c r="J77" s="61">
        <v>30</v>
      </c>
      <c r="K77" s="61">
        <f t="shared" si="1"/>
        <v>100</v>
      </c>
    </row>
    <row r="78" spans="1:11" ht="33.75" hidden="1">
      <c r="A78" s="26"/>
      <c r="B78" s="34" t="s">
        <v>107</v>
      </c>
      <c r="C78" s="25">
        <v>966</v>
      </c>
      <c r="D78" s="26" t="s">
        <v>82</v>
      </c>
      <c r="E78" s="1" t="s">
        <v>172</v>
      </c>
      <c r="F78" s="25">
        <v>240</v>
      </c>
      <c r="G78" s="59"/>
      <c r="H78" s="64">
        <f>SUM(H79:H80)</f>
        <v>59.800000000000004</v>
      </c>
      <c r="I78" s="61" t="s">
        <v>241</v>
      </c>
      <c r="J78" s="61"/>
      <c r="K78" s="61">
        <f t="shared" si="1"/>
        <v>0</v>
      </c>
    </row>
    <row r="79" spans="1:12" ht="33.75" hidden="1">
      <c r="A79" s="26"/>
      <c r="B79" s="24" t="s">
        <v>195</v>
      </c>
      <c r="C79" s="25">
        <v>966</v>
      </c>
      <c r="D79" s="26" t="s">
        <v>82</v>
      </c>
      <c r="E79" s="1" t="s">
        <v>172</v>
      </c>
      <c r="F79" s="25">
        <v>244</v>
      </c>
      <c r="G79" s="59">
        <v>212</v>
      </c>
      <c r="H79" s="64">
        <v>0.2</v>
      </c>
      <c r="I79" s="61" t="s">
        <v>241</v>
      </c>
      <c r="J79" s="61"/>
      <c r="K79" s="61">
        <f t="shared" si="1"/>
        <v>0</v>
      </c>
      <c r="L79">
        <v>0.2</v>
      </c>
    </row>
    <row r="80" spans="1:12" ht="13.5" hidden="1" thickBot="1">
      <c r="A80" s="131"/>
      <c r="B80" s="37" t="s">
        <v>204</v>
      </c>
      <c r="C80" s="130">
        <v>966</v>
      </c>
      <c r="D80" s="131" t="s">
        <v>82</v>
      </c>
      <c r="E80" s="17" t="s">
        <v>172</v>
      </c>
      <c r="F80" s="130">
        <v>244</v>
      </c>
      <c r="G80" s="59">
        <v>222</v>
      </c>
      <c r="H80" s="64">
        <f>80-20.4</f>
        <v>59.6</v>
      </c>
      <c r="I80" s="61" t="s">
        <v>241</v>
      </c>
      <c r="J80" s="61"/>
      <c r="K80" s="61">
        <f t="shared" si="1"/>
        <v>0</v>
      </c>
      <c r="L80">
        <v>-20.4</v>
      </c>
    </row>
    <row r="81" spans="1:12" ht="68.25" thickBot="1">
      <c r="A81" s="148" t="s">
        <v>33</v>
      </c>
      <c r="B81" s="153" t="s">
        <v>120</v>
      </c>
      <c r="C81" s="150">
        <v>966</v>
      </c>
      <c r="D81" s="151" t="s">
        <v>82</v>
      </c>
      <c r="E81" s="151" t="s">
        <v>491</v>
      </c>
      <c r="F81" s="150"/>
      <c r="G81" s="59"/>
      <c r="H81" s="186">
        <f>H95</f>
        <v>10</v>
      </c>
      <c r="I81" s="186">
        <f>I95</f>
        <v>0</v>
      </c>
      <c r="J81" s="186">
        <f>J95</f>
        <v>10</v>
      </c>
      <c r="K81" s="150">
        <v>100</v>
      </c>
      <c r="L81" s="205"/>
    </row>
    <row r="82" spans="1:11" ht="22.5" hidden="1">
      <c r="A82" s="26" t="s">
        <v>34</v>
      </c>
      <c r="B82" s="173" t="s">
        <v>24</v>
      </c>
      <c r="C82" s="12">
        <v>966</v>
      </c>
      <c r="D82" s="4" t="s">
        <v>82</v>
      </c>
      <c r="E82" s="17" t="s">
        <v>491</v>
      </c>
      <c r="F82" s="12">
        <v>200</v>
      </c>
      <c r="G82" s="59"/>
      <c r="H82" s="64">
        <f>H83+H85</f>
        <v>217.7</v>
      </c>
      <c r="I82" s="61"/>
      <c r="J82" s="61"/>
      <c r="K82" s="61"/>
    </row>
    <row r="83" spans="1:11" ht="33.75" hidden="1">
      <c r="A83" s="26"/>
      <c r="B83" s="34" t="s">
        <v>107</v>
      </c>
      <c r="C83" s="12">
        <v>966</v>
      </c>
      <c r="D83" s="4" t="s">
        <v>82</v>
      </c>
      <c r="E83" s="1" t="s">
        <v>173</v>
      </c>
      <c r="F83" s="12">
        <v>240</v>
      </c>
      <c r="G83" s="59"/>
      <c r="H83" s="65">
        <f>SUM(H84:H84)</f>
        <v>90</v>
      </c>
      <c r="I83" s="61"/>
      <c r="J83" s="61"/>
      <c r="K83" s="61"/>
    </row>
    <row r="84" spans="1:11" ht="33.75" hidden="1">
      <c r="A84" s="26"/>
      <c r="B84" s="24" t="s">
        <v>195</v>
      </c>
      <c r="C84" s="12">
        <v>966</v>
      </c>
      <c r="D84" s="4" t="s">
        <v>82</v>
      </c>
      <c r="E84" s="1" t="s">
        <v>173</v>
      </c>
      <c r="F84" s="12">
        <v>244</v>
      </c>
      <c r="G84" s="59">
        <v>221</v>
      </c>
      <c r="H84" s="65">
        <f>87+3</f>
        <v>90</v>
      </c>
      <c r="I84" s="61"/>
      <c r="J84" s="61"/>
      <c r="K84" s="61"/>
    </row>
    <row r="85" spans="1:11" ht="13.5" hidden="1" thickBot="1">
      <c r="A85" s="26"/>
      <c r="B85" s="34" t="s">
        <v>204</v>
      </c>
      <c r="C85" s="12">
        <v>966</v>
      </c>
      <c r="D85" s="4" t="s">
        <v>82</v>
      </c>
      <c r="E85" s="20" t="s">
        <v>173</v>
      </c>
      <c r="F85" s="12">
        <v>244</v>
      </c>
      <c r="G85" s="59"/>
      <c r="H85" s="65">
        <f>SUM(H86:H89)</f>
        <v>127.7</v>
      </c>
      <c r="I85" s="61"/>
      <c r="J85" s="61"/>
      <c r="K85" s="61"/>
    </row>
    <row r="86" spans="1:12" ht="12" customHeight="1" hidden="1">
      <c r="A86" s="148" t="s">
        <v>35</v>
      </c>
      <c r="B86" s="153" t="s">
        <v>119</v>
      </c>
      <c r="C86" s="150">
        <v>966</v>
      </c>
      <c r="D86" s="151" t="s">
        <v>82</v>
      </c>
      <c r="E86" s="151" t="s">
        <v>492</v>
      </c>
      <c r="F86" s="150"/>
      <c r="G86" s="59">
        <v>221</v>
      </c>
      <c r="H86" s="65">
        <v>0</v>
      </c>
      <c r="I86" s="61"/>
      <c r="J86" s="61"/>
      <c r="K86" s="61"/>
      <c r="L86">
        <v>-96.9</v>
      </c>
    </row>
    <row r="87" spans="1:11" ht="10.5" customHeight="1" hidden="1">
      <c r="A87" s="26" t="s">
        <v>36</v>
      </c>
      <c r="B87" s="169" t="s">
        <v>24</v>
      </c>
      <c r="C87" s="25">
        <v>966</v>
      </c>
      <c r="D87" s="26" t="s">
        <v>82</v>
      </c>
      <c r="E87" s="4" t="s">
        <v>492</v>
      </c>
      <c r="F87" s="25">
        <v>200</v>
      </c>
      <c r="G87" s="59">
        <v>222</v>
      </c>
      <c r="H87" s="65">
        <f>80-80</f>
        <v>0</v>
      </c>
      <c r="I87" s="61" t="s">
        <v>241</v>
      </c>
      <c r="J87" s="61"/>
      <c r="K87" s="61"/>
    </row>
    <row r="88" spans="1:12" ht="12" customHeight="1" hidden="1">
      <c r="A88" s="26"/>
      <c r="B88" s="34" t="s">
        <v>107</v>
      </c>
      <c r="C88" s="25">
        <v>966</v>
      </c>
      <c r="D88" s="26" t="s">
        <v>82</v>
      </c>
      <c r="E88" s="4" t="s">
        <v>174</v>
      </c>
      <c r="F88" s="25">
        <v>240</v>
      </c>
      <c r="G88" s="59">
        <v>226</v>
      </c>
      <c r="H88" s="65">
        <v>0.7</v>
      </c>
      <c r="I88" s="61"/>
      <c r="J88" s="61"/>
      <c r="K88" s="61"/>
      <c r="L88">
        <v>0.7</v>
      </c>
    </row>
    <row r="89" spans="1:12" ht="13.5" customHeight="1" hidden="1" thickBot="1">
      <c r="A89" s="26"/>
      <c r="B89" s="34" t="s">
        <v>195</v>
      </c>
      <c r="C89" s="12">
        <v>966</v>
      </c>
      <c r="D89" s="4" t="s">
        <v>82</v>
      </c>
      <c r="E89" s="4" t="s">
        <v>174</v>
      </c>
      <c r="F89" s="12">
        <v>244</v>
      </c>
      <c r="G89" s="59">
        <v>340</v>
      </c>
      <c r="H89" s="65">
        <f>10.6+20.4+96.9-0.2-0.7</f>
        <v>127</v>
      </c>
      <c r="I89" s="61"/>
      <c r="J89" s="61"/>
      <c r="K89" s="61"/>
      <c r="L89">
        <f>20.4+96.9-0.2-0.7</f>
        <v>116.4</v>
      </c>
    </row>
    <row r="90" spans="1:11" ht="12.75" hidden="1">
      <c r="A90" s="26"/>
      <c r="B90" s="34" t="s">
        <v>199</v>
      </c>
      <c r="C90" s="25">
        <v>966</v>
      </c>
      <c r="D90" s="26" t="s">
        <v>82</v>
      </c>
      <c r="E90" s="4" t="s">
        <v>174</v>
      </c>
      <c r="F90" s="25">
        <v>244</v>
      </c>
      <c r="G90" s="59"/>
      <c r="H90" s="64" t="e">
        <f>H91</f>
        <v>#REF!</v>
      </c>
      <c r="I90" s="61"/>
      <c r="J90" s="61"/>
      <c r="K90" s="61"/>
    </row>
    <row r="91" spans="1:11" ht="23.25" hidden="1" thickBot="1">
      <c r="A91" s="126" t="s">
        <v>37</v>
      </c>
      <c r="B91" s="127" t="s">
        <v>113</v>
      </c>
      <c r="C91" s="128">
        <v>966</v>
      </c>
      <c r="D91" s="129" t="s">
        <v>82</v>
      </c>
      <c r="E91" s="129" t="s">
        <v>190</v>
      </c>
      <c r="F91" s="128"/>
      <c r="G91" s="59"/>
      <c r="H91" s="64" t="e">
        <f>H92</f>
        <v>#REF!</v>
      </c>
      <c r="I91" s="61"/>
      <c r="J91" s="61"/>
      <c r="K91" s="61"/>
    </row>
    <row r="92" spans="1:11" ht="22.5" hidden="1">
      <c r="A92" s="26" t="s">
        <v>38</v>
      </c>
      <c r="B92" s="169" t="s">
        <v>24</v>
      </c>
      <c r="C92" s="25">
        <v>966</v>
      </c>
      <c r="D92" s="26" t="s">
        <v>82</v>
      </c>
      <c r="E92" s="4" t="s">
        <v>190</v>
      </c>
      <c r="F92" s="25">
        <v>200</v>
      </c>
      <c r="G92" s="59"/>
      <c r="H92" s="64" t="e">
        <f>#REF!</f>
        <v>#REF!</v>
      </c>
      <c r="I92" s="61"/>
      <c r="J92" s="61"/>
      <c r="K92" s="61"/>
    </row>
    <row r="93" spans="1:11" ht="33.75" hidden="1">
      <c r="A93" s="26"/>
      <c r="B93" s="34" t="s">
        <v>107</v>
      </c>
      <c r="C93" s="25">
        <v>966</v>
      </c>
      <c r="D93" s="26" t="s">
        <v>82</v>
      </c>
      <c r="E93" s="4" t="s">
        <v>190</v>
      </c>
      <c r="F93" s="25">
        <v>240</v>
      </c>
      <c r="G93" s="59"/>
      <c r="H93" s="64">
        <f>H94</f>
        <v>12.600000000000023</v>
      </c>
      <c r="I93" s="61"/>
      <c r="J93" s="61"/>
      <c r="K93" s="61"/>
    </row>
    <row r="94" spans="1:11" ht="33.75" hidden="1">
      <c r="A94" s="26"/>
      <c r="B94" s="34" t="s">
        <v>195</v>
      </c>
      <c r="C94" s="25">
        <v>966</v>
      </c>
      <c r="D94" s="26" t="s">
        <v>82</v>
      </c>
      <c r="E94" s="4" t="s">
        <v>190</v>
      </c>
      <c r="F94" s="25">
        <v>244</v>
      </c>
      <c r="G94" s="59">
        <v>290</v>
      </c>
      <c r="H94" s="64">
        <f>100+190-277.4</f>
        <v>12.600000000000023</v>
      </c>
      <c r="I94" s="61"/>
      <c r="J94" s="61"/>
      <c r="K94" s="61"/>
    </row>
    <row r="95" spans="1:11" ht="23.25" thickBot="1">
      <c r="A95" s="7" t="s">
        <v>34</v>
      </c>
      <c r="B95" s="173" t="s">
        <v>24</v>
      </c>
      <c r="C95" s="25">
        <v>966</v>
      </c>
      <c r="D95" s="26" t="s">
        <v>82</v>
      </c>
      <c r="E95" s="4" t="s">
        <v>491</v>
      </c>
      <c r="F95" s="25">
        <v>200</v>
      </c>
      <c r="G95" s="59"/>
      <c r="H95" s="64">
        <v>10</v>
      </c>
      <c r="I95" s="61"/>
      <c r="J95" s="62">
        <v>10</v>
      </c>
      <c r="K95" s="62">
        <f>J95/H95*100</f>
        <v>100</v>
      </c>
    </row>
    <row r="96" spans="1:11" ht="90.75" thickBot="1">
      <c r="A96" s="148" t="s">
        <v>37</v>
      </c>
      <c r="B96" s="153" t="s">
        <v>118</v>
      </c>
      <c r="C96" s="150">
        <v>966</v>
      </c>
      <c r="D96" s="151" t="s">
        <v>82</v>
      </c>
      <c r="E96" s="151" t="s">
        <v>493</v>
      </c>
      <c r="F96" s="150"/>
      <c r="G96" s="59"/>
      <c r="H96" s="150">
        <f>H97</f>
        <v>10</v>
      </c>
      <c r="I96" s="150">
        <f>I97</f>
        <v>0</v>
      </c>
      <c r="J96" s="150">
        <f>J97</f>
        <v>10</v>
      </c>
      <c r="K96" s="150">
        <f aca="true" t="shared" si="2" ref="K96:K129">J96/H96*100</f>
        <v>100</v>
      </c>
    </row>
    <row r="97" spans="1:11" ht="23.25" thickBot="1">
      <c r="A97" s="26" t="s">
        <v>38</v>
      </c>
      <c r="B97" s="169" t="s">
        <v>24</v>
      </c>
      <c r="C97" s="25">
        <v>966</v>
      </c>
      <c r="D97" s="26" t="s">
        <v>82</v>
      </c>
      <c r="E97" s="4" t="s">
        <v>493</v>
      </c>
      <c r="F97" s="25">
        <v>200</v>
      </c>
      <c r="G97" s="59"/>
      <c r="H97" s="64">
        <v>10</v>
      </c>
      <c r="I97" s="61"/>
      <c r="J97" s="61">
        <v>10</v>
      </c>
      <c r="K97" s="62">
        <f t="shared" si="2"/>
        <v>100</v>
      </c>
    </row>
    <row r="98" spans="1:11" ht="68.25" thickBot="1">
      <c r="A98" s="148" t="s">
        <v>39</v>
      </c>
      <c r="B98" s="153" t="s">
        <v>494</v>
      </c>
      <c r="C98" s="150">
        <v>966</v>
      </c>
      <c r="D98" s="151" t="s">
        <v>82</v>
      </c>
      <c r="E98" s="151" t="s">
        <v>495</v>
      </c>
      <c r="F98" s="150"/>
      <c r="G98" s="59"/>
      <c r="H98" s="150">
        <f>H99</f>
        <v>10</v>
      </c>
      <c r="I98" s="150">
        <f>I99</f>
        <v>0</v>
      </c>
      <c r="J98" s="150">
        <f>J99</f>
        <v>10</v>
      </c>
      <c r="K98" s="150">
        <f t="shared" si="2"/>
        <v>100</v>
      </c>
    </row>
    <row r="99" spans="1:11" ht="23.25" thickBot="1">
      <c r="A99" s="26" t="s">
        <v>400</v>
      </c>
      <c r="B99" s="169" t="s">
        <v>24</v>
      </c>
      <c r="C99" s="25">
        <v>966</v>
      </c>
      <c r="D99" s="26" t="s">
        <v>82</v>
      </c>
      <c r="E99" s="4" t="s">
        <v>495</v>
      </c>
      <c r="F99" s="25">
        <v>200</v>
      </c>
      <c r="G99" s="59"/>
      <c r="H99" s="187">
        <v>10</v>
      </c>
      <c r="I99" s="187"/>
      <c r="J99" s="187">
        <v>10</v>
      </c>
      <c r="K99" s="187">
        <f t="shared" si="2"/>
        <v>100</v>
      </c>
    </row>
    <row r="100" spans="1:11" ht="34.5" hidden="1" thickBot="1">
      <c r="A100" s="26"/>
      <c r="B100" s="34" t="s">
        <v>107</v>
      </c>
      <c r="C100" s="25">
        <v>966</v>
      </c>
      <c r="D100" s="26" t="s">
        <v>82</v>
      </c>
      <c r="E100" s="4" t="s">
        <v>225</v>
      </c>
      <c r="F100" s="25">
        <v>240</v>
      </c>
      <c r="G100" s="59"/>
      <c r="H100" s="150">
        <f>H102+H101</f>
        <v>4.7</v>
      </c>
      <c r="I100" s="150"/>
      <c r="J100" s="150"/>
      <c r="K100" s="150">
        <f t="shared" si="2"/>
        <v>0</v>
      </c>
    </row>
    <row r="101" spans="1:12" ht="34.5" hidden="1" thickBot="1">
      <c r="A101" s="26"/>
      <c r="B101" s="24" t="s">
        <v>195</v>
      </c>
      <c r="C101" s="25">
        <v>966</v>
      </c>
      <c r="D101" s="26" t="s">
        <v>82</v>
      </c>
      <c r="E101" s="4" t="s">
        <v>225</v>
      </c>
      <c r="F101" s="25">
        <v>244</v>
      </c>
      <c r="G101" s="59">
        <v>226</v>
      </c>
      <c r="H101" s="150">
        <f>100-100</f>
        <v>0</v>
      </c>
      <c r="I101" s="150"/>
      <c r="J101" s="150"/>
      <c r="K101" s="150" t="e">
        <f t="shared" si="2"/>
        <v>#DIV/0!</v>
      </c>
      <c r="L101">
        <v>-100</v>
      </c>
    </row>
    <row r="102" spans="1:11" ht="13.5" hidden="1" thickBot="1">
      <c r="A102" s="26"/>
      <c r="B102" s="34" t="s">
        <v>204</v>
      </c>
      <c r="C102" s="25">
        <v>966</v>
      </c>
      <c r="D102" s="26" t="s">
        <v>82</v>
      </c>
      <c r="E102" s="4" t="s">
        <v>225</v>
      </c>
      <c r="F102" s="25">
        <v>244</v>
      </c>
      <c r="G102" s="59">
        <v>340</v>
      </c>
      <c r="H102" s="150">
        <f>6-1.3</f>
        <v>4.7</v>
      </c>
      <c r="I102" s="150"/>
      <c r="J102" s="150"/>
      <c r="K102" s="150">
        <f t="shared" si="2"/>
        <v>0</v>
      </c>
    </row>
    <row r="103" spans="1:11" ht="102" thickBot="1">
      <c r="A103" s="148" t="s">
        <v>40</v>
      </c>
      <c r="B103" s="153" t="s">
        <v>116</v>
      </c>
      <c r="C103" s="150">
        <v>966</v>
      </c>
      <c r="D103" s="151" t="s">
        <v>82</v>
      </c>
      <c r="E103" s="151" t="s">
        <v>496</v>
      </c>
      <c r="F103" s="150"/>
      <c r="G103" s="59"/>
      <c r="H103" s="186">
        <f>H104</f>
        <v>25</v>
      </c>
      <c r="I103" s="150"/>
      <c r="J103" s="150">
        <f>J104</f>
        <v>25</v>
      </c>
      <c r="K103" s="150">
        <f t="shared" si="2"/>
        <v>100</v>
      </c>
    </row>
    <row r="104" spans="1:11" ht="23.25" thickBot="1">
      <c r="A104" s="26" t="s">
        <v>97</v>
      </c>
      <c r="B104" s="5" t="s">
        <v>24</v>
      </c>
      <c r="C104" s="12">
        <v>966</v>
      </c>
      <c r="D104" s="4" t="s">
        <v>82</v>
      </c>
      <c r="E104" s="4" t="s">
        <v>496</v>
      </c>
      <c r="F104" s="12">
        <v>200</v>
      </c>
      <c r="G104" s="59"/>
      <c r="H104" s="64">
        <v>25</v>
      </c>
      <c r="I104" s="61"/>
      <c r="J104" s="61">
        <v>25</v>
      </c>
      <c r="K104" s="62">
        <f t="shared" si="2"/>
        <v>100</v>
      </c>
    </row>
    <row r="105" spans="1:11" ht="45.75" thickBot="1">
      <c r="A105" s="148" t="s">
        <v>41</v>
      </c>
      <c r="B105" s="153" t="s">
        <v>163</v>
      </c>
      <c r="C105" s="150">
        <v>966</v>
      </c>
      <c r="D105" s="151" t="s">
        <v>82</v>
      </c>
      <c r="E105" s="151" t="s">
        <v>497</v>
      </c>
      <c r="F105" s="150"/>
      <c r="G105" s="59"/>
      <c r="H105" s="186">
        <f>H106</f>
        <v>25</v>
      </c>
      <c r="I105" s="186">
        <f>I106</f>
        <v>0</v>
      </c>
      <c r="J105" s="186">
        <f>J106</f>
        <v>25</v>
      </c>
      <c r="K105" s="150">
        <f t="shared" si="2"/>
        <v>100</v>
      </c>
    </row>
    <row r="106" spans="1:11" ht="23.25" thickBot="1">
      <c r="A106" s="131" t="s">
        <v>498</v>
      </c>
      <c r="B106" s="174" t="s">
        <v>24</v>
      </c>
      <c r="C106" s="130">
        <v>966</v>
      </c>
      <c r="D106" s="131" t="s">
        <v>82</v>
      </c>
      <c r="E106" s="17" t="s">
        <v>497</v>
      </c>
      <c r="F106" s="130">
        <v>200</v>
      </c>
      <c r="G106" s="59">
        <v>226</v>
      </c>
      <c r="H106" s="64">
        <v>25</v>
      </c>
      <c r="I106" s="61"/>
      <c r="J106" s="61">
        <v>25</v>
      </c>
      <c r="K106" s="62">
        <f t="shared" si="2"/>
        <v>100</v>
      </c>
    </row>
    <row r="107" spans="1:11" ht="45.75" customHeight="1" thickBot="1">
      <c r="A107" s="148" t="s">
        <v>100</v>
      </c>
      <c r="B107" s="153" t="s">
        <v>250</v>
      </c>
      <c r="C107" s="150">
        <v>966</v>
      </c>
      <c r="D107" s="151" t="s">
        <v>82</v>
      </c>
      <c r="E107" s="151" t="s">
        <v>245</v>
      </c>
      <c r="F107" s="150"/>
      <c r="G107" s="59"/>
      <c r="H107" s="186">
        <f>H108+H109</f>
        <v>3487.4</v>
      </c>
      <c r="I107" s="186">
        <f>I108+I109</f>
        <v>0</v>
      </c>
      <c r="J107" s="186">
        <f>J108+J109</f>
        <v>3487.2000000000003</v>
      </c>
      <c r="K107" s="186">
        <f t="shared" si="2"/>
        <v>99.99426506853244</v>
      </c>
    </row>
    <row r="108" spans="1:11" ht="67.5">
      <c r="A108" s="26" t="s">
        <v>499</v>
      </c>
      <c r="B108" s="33" t="s">
        <v>104</v>
      </c>
      <c r="C108" s="25">
        <v>966</v>
      </c>
      <c r="D108" s="26" t="s">
        <v>82</v>
      </c>
      <c r="E108" s="4" t="s">
        <v>245</v>
      </c>
      <c r="F108" s="25">
        <v>100</v>
      </c>
      <c r="G108" s="59"/>
      <c r="H108" s="64">
        <v>3215.1</v>
      </c>
      <c r="I108" s="61"/>
      <c r="J108" s="61">
        <f>2440.3+5.5+769.1</f>
        <v>3214.9</v>
      </c>
      <c r="K108" s="62">
        <f t="shared" si="2"/>
        <v>99.99377935367485</v>
      </c>
    </row>
    <row r="109" spans="1:11" ht="23.25" thickBot="1">
      <c r="A109" s="131" t="s">
        <v>500</v>
      </c>
      <c r="B109" s="174" t="s">
        <v>24</v>
      </c>
      <c r="C109" s="130">
        <v>966</v>
      </c>
      <c r="D109" s="131" t="s">
        <v>82</v>
      </c>
      <c r="E109" s="17" t="s">
        <v>245</v>
      </c>
      <c r="F109" s="130">
        <v>200</v>
      </c>
      <c r="G109" s="59"/>
      <c r="H109" s="64">
        <v>272.3</v>
      </c>
      <c r="I109" s="61"/>
      <c r="J109" s="61">
        <f>272.3</f>
        <v>272.3</v>
      </c>
      <c r="K109" s="62">
        <f t="shared" si="2"/>
        <v>100</v>
      </c>
    </row>
    <row r="110" spans="1:12" ht="21.75" thickBot="1">
      <c r="A110" s="159" t="s">
        <v>42</v>
      </c>
      <c r="B110" s="160" t="s">
        <v>43</v>
      </c>
      <c r="C110" s="161">
        <v>966</v>
      </c>
      <c r="D110" s="162" t="s">
        <v>85</v>
      </c>
      <c r="E110" s="162"/>
      <c r="F110" s="161"/>
      <c r="G110" s="59">
        <v>226</v>
      </c>
      <c r="H110" s="197">
        <f>H111</f>
        <v>0</v>
      </c>
      <c r="I110" s="161"/>
      <c r="J110" s="197">
        <f>J111</f>
        <v>0</v>
      </c>
      <c r="K110" s="161" t="s">
        <v>434</v>
      </c>
      <c r="L110">
        <v>-100</v>
      </c>
    </row>
    <row r="111" spans="1:11" ht="45.75" thickBot="1">
      <c r="A111" s="155" t="s">
        <v>44</v>
      </c>
      <c r="B111" s="156" t="s">
        <v>45</v>
      </c>
      <c r="C111" s="157">
        <v>966</v>
      </c>
      <c r="D111" s="158" t="s">
        <v>86</v>
      </c>
      <c r="E111" s="158"/>
      <c r="F111" s="158"/>
      <c r="G111" s="158"/>
      <c r="H111" s="192">
        <f>H112</f>
        <v>0</v>
      </c>
      <c r="I111" s="192">
        <f>I112</f>
        <v>0</v>
      </c>
      <c r="J111" s="192">
        <f>J112</f>
        <v>0</v>
      </c>
      <c r="K111" s="158" t="s">
        <v>434</v>
      </c>
    </row>
    <row r="112" spans="1:11" ht="102" thickBot="1">
      <c r="A112" s="148" t="s">
        <v>159</v>
      </c>
      <c r="B112" s="153" t="s">
        <v>160</v>
      </c>
      <c r="C112" s="150">
        <v>966</v>
      </c>
      <c r="D112" s="151" t="s">
        <v>86</v>
      </c>
      <c r="E112" s="151" t="s">
        <v>179</v>
      </c>
      <c r="F112" s="151"/>
      <c r="G112" s="151"/>
      <c r="H112" s="193">
        <f>H113</f>
        <v>0</v>
      </c>
      <c r="I112" s="193">
        <f>I113</f>
        <v>0</v>
      </c>
      <c r="J112" s="193">
        <f>J113</f>
        <v>0</v>
      </c>
      <c r="K112" s="151" t="s">
        <v>434</v>
      </c>
    </row>
    <row r="113" spans="1:11" ht="44.25" customHeight="1">
      <c r="A113" s="7" t="s">
        <v>161</v>
      </c>
      <c r="B113" s="169" t="s">
        <v>24</v>
      </c>
      <c r="C113" s="10">
        <v>966</v>
      </c>
      <c r="D113" s="7" t="s">
        <v>86</v>
      </c>
      <c r="E113" s="4" t="s">
        <v>179</v>
      </c>
      <c r="F113" s="135">
        <v>200</v>
      </c>
      <c r="G113" s="59"/>
      <c r="H113" s="64">
        <v>0</v>
      </c>
      <c r="I113" s="61"/>
      <c r="J113" s="206">
        <v>0</v>
      </c>
      <c r="K113" s="62" t="s">
        <v>434</v>
      </c>
    </row>
    <row r="114" spans="1:11" ht="13.5" thickBot="1">
      <c r="A114" s="188" t="s">
        <v>131</v>
      </c>
      <c r="B114" s="195" t="s">
        <v>48</v>
      </c>
      <c r="C114" s="190">
        <v>966</v>
      </c>
      <c r="D114" s="191" t="s">
        <v>87</v>
      </c>
      <c r="E114" s="191"/>
      <c r="F114" s="190"/>
      <c r="G114" s="189"/>
      <c r="H114" s="190">
        <f>H115</f>
        <v>70039.80000000002</v>
      </c>
      <c r="I114" s="190" t="e">
        <f>I115</f>
        <v>#VALUE!</v>
      </c>
      <c r="J114" s="190">
        <f>J115</f>
        <v>62447.5</v>
      </c>
      <c r="K114" s="211">
        <f t="shared" si="2"/>
        <v>89.1600204455181</v>
      </c>
    </row>
    <row r="115" spans="1:11" ht="13.5" thickBot="1">
      <c r="A115" s="155" t="s">
        <v>133</v>
      </c>
      <c r="B115" s="194" t="s">
        <v>49</v>
      </c>
      <c r="C115" s="157">
        <v>966</v>
      </c>
      <c r="D115" s="158" t="s">
        <v>88</v>
      </c>
      <c r="E115" s="158"/>
      <c r="F115" s="157"/>
      <c r="G115" s="59"/>
      <c r="H115" s="196">
        <f>H116+H119+H121+H126+H128+H131+H133+H137</f>
        <v>70039.80000000002</v>
      </c>
      <c r="I115" s="196" t="e">
        <f>I116+I119+I121+I126+I128+I131+I133+I137</f>
        <v>#VALUE!</v>
      </c>
      <c r="J115" s="196">
        <f>J116+J119+J121+J126+J128+J131+J133+J137</f>
        <v>62447.5</v>
      </c>
      <c r="K115" s="196">
        <f t="shared" si="2"/>
        <v>89.1600204455181</v>
      </c>
    </row>
    <row r="116" spans="1:12" ht="34.5" thickBot="1">
      <c r="A116" s="148" t="s">
        <v>134</v>
      </c>
      <c r="B116" s="153" t="s">
        <v>234</v>
      </c>
      <c r="C116" s="150">
        <v>966</v>
      </c>
      <c r="D116" s="151" t="s">
        <v>88</v>
      </c>
      <c r="E116" s="151" t="s">
        <v>227</v>
      </c>
      <c r="F116" s="150"/>
      <c r="G116" s="59"/>
      <c r="H116" s="186">
        <f>H117+H118</f>
        <v>27622.9</v>
      </c>
      <c r="I116" s="186">
        <f>I117+I118</f>
        <v>0</v>
      </c>
      <c r="J116" s="186">
        <f>J117+J118</f>
        <v>20219.2</v>
      </c>
      <c r="K116" s="150">
        <f t="shared" si="2"/>
        <v>73.19723852310945</v>
      </c>
      <c r="L116" s="204"/>
    </row>
    <row r="117" spans="1:12" ht="22.5">
      <c r="A117" s="4" t="s">
        <v>135</v>
      </c>
      <c r="B117" s="175" t="s">
        <v>24</v>
      </c>
      <c r="C117" s="12">
        <v>966</v>
      </c>
      <c r="D117" s="4" t="s">
        <v>88</v>
      </c>
      <c r="E117" s="4" t="s">
        <v>227</v>
      </c>
      <c r="F117" s="12">
        <v>200</v>
      </c>
      <c r="G117" s="59">
        <v>290</v>
      </c>
      <c r="H117" s="64">
        <v>26915.5</v>
      </c>
      <c r="I117" s="61"/>
      <c r="J117" s="61">
        <v>19538.5</v>
      </c>
      <c r="K117" s="62">
        <f t="shared" si="2"/>
        <v>72.59200089167952</v>
      </c>
      <c r="L117" s="204"/>
    </row>
    <row r="118" spans="1:12" ht="13.5" thickBot="1">
      <c r="A118" s="4" t="s">
        <v>501</v>
      </c>
      <c r="B118" s="37" t="s">
        <v>108</v>
      </c>
      <c r="C118" s="11">
        <v>966</v>
      </c>
      <c r="D118" s="4" t="s">
        <v>88</v>
      </c>
      <c r="E118" s="4" t="s">
        <v>227</v>
      </c>
      <c r="F118" s="22">
        <v>800</v>
      </c>
      <c r="G118" s="59">
        <v>340</v>
      </c>
      <c r="H118" s="64">
        <v>707.4</v>
      </c>
      <c r="I118" s="61"/>
      <c r="J118" s="61">
        <v>680.7</v>
      </c>
      <c r="K118" s="62">
        <f t="shared" si="2"/>
        <v>96.22561492790501</v>
      </c>
      <c r="L118" s="204"/>
    </row>
    <row r="119" spans="1:11" ht="45.75" thickBot="1">
      <c r="A119" s="148" t="s">
        <v>136</v>
      </c>
      <c r="B119" s="153" t="s">
        <v>191</v>
      </c>
      <c r="C119" s="150">
        <v>966</v>
      </c>
      <c r="D119" s="151" t="s">
        <v>88</v>
      </c>
      <c r="E119" s="151" t="s">
        <v>228</v>
      </c>
      <c r="F119" s="150"/>
      <c r="G119" s="59"/>
      <c r="H119" s="150">
        <f>H120</f>
        <v>3320.4</v>
      </c>
      <c r="I119" s="150"/>
      <c r="J119" s="150">
        <f>J120</f>
        <v>3140.3</v>
      </c>
      <c r="K119" s="150">
        <f t="shared" si="2"/>
        <v>94.57595470425251</v>
      </c>
    </row>
    <row r="120" spans="1:11" ht="23.25" thickBot="1">
      <c r="A120" s="4" t="s">
        <v>137</v>
      </c>
      <c r="B120" s="169" t="s">
        <v>24</v>
      </c>
      <c r="C120" s="12">
        <v>966</v>
      </c>
      <c r="D120" s="4" t="s">
        <v>88</v>
      </c>
      <c r="E120" s="4" t="s">
        <v>228</v>
      </c>
      <c r="F120" s="12">
        <v>200</v>
      </c>
      <c r="G120" s="59">
        <v>226</v>
      </c>
      <c r="H120" s="64">
        <v>3320.4</v>
      </c>
      <c r="I120" s="61"/>
      <c r="J120" s="61">
        <v>3140.3</v>
      </c>
      <c r="K120" s="62">
        <f t="shared" si="2"/>
        <v>94.57595470425251</v>
      </c>
    </row>
    <row r="121" spans="1:11" ht="57" thickBot="1">
      <c r="A121" s="148" t="s">
        <v>138</v>
      </c>
      <c r="B121" s="153" t="s">
        <v>127</v>
      </c>
      <c r="C121" s="150">
        <v>966</v>
      </c>
      <c r="D121" s="151" t="s">
        <v>88</v>
      </c>
      <c r="E121" s="151" t="s">
        <v>502</v>
      </c>
      <c r="F121" s="150"/>
      <c r="G121" s="59"/>
      <c r="H121" s="150">
        <f>H122</f>
        <v>5164.3</v>
      </c>
      <c r="I121" s="150"/>
      <c r="J121" s="150">
        <f>J122</f>
        <v>5163.8</v>
      </c>
      <c r="K121" s="186">
        <f t="shared" si="2"/>
        <v>99.99031814573127</v>
      </c>
    </row>
    <row r="122" spans="1:11" ht="39.75" customHeight="1" thickBot="1">
      <c r="A122" s="26" t="s">
        <v>139</v>
      </c>
      <c r="B122" s="176" t="s">
        <v>24</v>
      </c>
      <c r="C122" s="132">
        <v>966</v>
      </c>
      <c r="D122" s="133" t="s">
        <v>88</v>
      </c>
      <c r="E122" s="15" t="s">
        <v>502</v>
      </c>
      <c r="F122" s="132">
        <v>200</v>
      </c>
      <c r="G122" s="59"/>
      <c r="H122" s="64">
        <v>5164.3</v>
      </c>
      <c r="I122" s="61"/>
      <c r="J122" s="61">
        <v>5163.8</v>
      </c>
      <c r="K122" s="62">
        <f t="shared" si="2"/>
        <v>99.99031814573127</v>
      </c>
    </row>
    <row r="123" spans="1:11" ht="34.5" hidden="1" thickBot="1">
      <c r="A123" s="26"/>
      <c r="B123" s="34" t="s">
        <v>107</v>
      </c>
      <c r="C123" s="132">
        <v>966</v>
      </c>
      <c r="D123" s="133" t="s">
        <v>88</v>
      </c>
      <c r="E123" s="15" t="s">
        <v>181</v>
      </c>
      <c r="F123" s="132">
        <v>240</v>
      </c>
      <c r="G123" s="59"/>
      <c r="H123" s="64">
        <f>H124</f>
        <v>19.3</v>
      </c>
      <c r="I123" s="61"/>
      <c r="J123" s="61"/>
      <c r="K123" s="62">
        <f t="shared" si="2"/>
        <v>0</v>
      </c>
    </row>
    <row r="124" spans="1:11" ht="34.5" hidden="1" thickBot="1">
      <c r="A124" s="26"/>
      <c r="B124" s="24" t="s">
        <v>195</v>
      </c>
      <c r="C124" s="132">
        <v>966</v>
      </c>
      <c r="D124" s="133" t="s">
        <v>88</v>
      </c>
      <c r="E124" s="15" t="s">
        <v>181</v>
      </c>
      <c r="F124" s="132">
        <v>244</v>
      </c>
      <c r="G124" s="59"/>
      <c r="H124" s="64">
        <f>H125</f>
        <v>19.3</v>
      </c>
      <c r="I124" s="61"/>
      <c r="J124" s="61"/>
      <c r="K124" s="62">
        <f t="shared" si="2"/>
        <v>0</v>
      </c>
    </row>
    <row r="125" spans="1:11" ht="13.5" hidden="1" thickBot="1">
      <c r="A125" s="26"/>
      <c r="B125" s="34" t="s">
        <v>204</v>
      </c>
      <c r="C125" s="25">
        <v>966</v>
      </c>
      <c r="D125" s="26" t="s">
        <v>88</v>
      </c>
      <c r="E125" s="4" t="s">
        <v>181</v>
      </c>
      <c r="F125" s="25">
        <v>244</v>
      </c>
      <c r="G125" s="59">
        <v>340</v>
      </c>
      <c r="H125" s="64">
        <f>25-5.7</f>
        <v>19.3</v>
      </c>
      <c r="I125" s="61"/>
      <c r="J125" s="61">
        <v>1</v>
      </c>
      <c r="K125" s="62">
        <f t="shared" si="2"/>
        <v>5.181347150259067</v>
      </c>
    </row>
    <row r="126" spans="1:11" ht="40.5" customHeight="1" thickBot="1">
      <c r="A126" s="148" t="s">
        <v>140</v>
      </c>
      <c r="B126" s="153" t="s">
        <v>128</v>
      </c>
      <c r="C126" s="150">
        <v>966</v>
      </c>
      <c r="D126" s="151" t="s">
        <v>88</v>
      </c>
      <c r="E126" s="151" t="s">
        <v>503</v>
      </c>
      <c r="F126" s="150"/>
      <c r="G126" s="68"/>
      <c r="H126" s="150">
        <f>H127</f>
        <v>3281.3</v>
      </c>
      <c r="I126" s="150"/>
      <c r="J126" s="150">
        <f>J127</f>
        <v>3281.2</v>
      </c>
      <c r="K126" s="186">
        <f t="shared" si="2"/>
        <v>99.99695242739158</v>
      </c>
    </row>
    <row r="127" spans="1:11" ht="23.25" thickBot="1">
      <c r="A127" s="26" t="s">
        <v>141</v>
      </c>
      <c r="B127" s="169" t="s">
        <v>24</v>
      </c>
      <c r="C127" s="25">
        <v>966</v>
      </c>
      <c r="D127" s="26" t="s">
        <v>88</v>
      </c>
      <c r="E127" s="4" t="s">
        <v>503</v>
      </c>
      <c r="F127" s="25">
        <v>200</v>
      </c>
      <c r="G127" s="68"/>
      <c r="H127" s="64">
        <v>3281.3</v>
      </c>
      <c r="I127" s="61"/>
      <c r="J127" s="61">
        <v>3281.2</v>
      </c>
      <c r="K127" s="62">
        <f t="shared" si="2"/>
        <v>99.99695242739158</v>
      </c>
    </row>
    <row r="128" spans="1:11" ht="57" thickBot="1">
      <c r="A128" s="148" t="s">
        <v>142</v>
      </c>
      <c r="B128" s="153" t="s">
        <v>129</v>
      </c>
      <c r="C128" s="150">
        <v>966</v>
      </c>
      <c r="D128" s="151" t="s">
        <v>88</v>
      </c>
      <c r="E128" s="151" t="s">
        <v>504</v>
      </c>
      <c r="F128" s="150"/>
      <c r="G128" s="59"/>
      <c r="H128" s="186">
        <f>H129+H130</f>
        <v>14361.3</v>
      </c>
      <c r="I128" s="150">
        <f>I129</f>
        <v>0</v>
      </c>
      <c r="J128" s="186">
        <f>J129+J130</f>
        <v>14353.8</v>
      </c>
      <c r="K128" s="186">
        <f t="shared" si="2"/>
        <v>99.94777631551462</v>
      </c>
    </row>
    <row r="129" spans="1:11" ht="24" customHeight="1">
      <c r="A129" s="26" t="s">
        <v>143</v>
      </c>
      <c r="B129" s="175" t="s">
        <v>24</v>
      </c>
      <c r="C129" s="25">
        <v>966</v>
      </c>
      <c r="D129" s="26" t="s">
        <v>88</v>
      </c>
      <c r="E129" s="4" t="s">
        <v>504</v>
      </c>
      <c r="F129" s="25">
        <v>200</v>
      </c>
      <c r="G129" s="59">
        <v>213</v>
      </c>
      <c r="H129" s="64">
        <v>14353.9</v>
      </c>
      <c r="I129" s="61"/>
      <c r="J129" s="61">
        <v>14353.8</v>
      </c>
      <c r="K129" s="62">
        <f t="shared" si="2"/>
        <v>99.99930332522868</v>
      </c>
    </row>
    <row r="130" spans="1:12" ht="13.5" thickBot="1">
      <c r="A130" s="4" t="s">
        <v>505</v>
      </c>
      <c r="B130" s="37" t="s">
        <v>108</v>
      </c>
      <c r="C130" s="11">
        <v>966</v>
      </c>
      <c r="D130" s="4" t="s">
        <v>88</v>
      </c>
      <c r="E130" s="4" t="s">
        <v>504</v>
      </c>
      <c r="F130" s="22">
        <v>800</v>
      </c>
      <c r="G130" s="59"/>
      <c r="H130" s="64">
        <v>7.4</v>
      </c>
      <c r="I130" s="61"/>
      <c r="J130" s="62">
        <v>0</v>
      </c>
      <c r="K130" s="62">
        <f>J130/H130*100</f>
        <v>0</v>
      </c>
      <c r="L130" s="213"/>
    </row>
    <row r="131" spans="1:11" ht="79.5" thickBot="1">
      <c r="A131" s="148" t="s">
        <v>144</v>
      </c>
      <c r="B131" s="153" t="s">
        <v>162</v>
      </c>
      <c r="C131" s="150">
        <v>966</v>
      </c>
      <c r="D131" s="151" t="s">
        <v>88</v>
      </c>
      <c r="E131" s="151" t="s">
        <v>506</v>
      </c>
      <c r="F131" s="150"/>
      <c r="G131" s="59"/>
      <c r="H131" s="186">
        <f>H132</f>
        <v>1894.7</v>
      </c>
      <c r="I131" s="186">
        <f>I132</f>
        <v>0</v>
      </c>
      <c r="J131" s="186">
        <f>J132</f>
        <v>1894.7</v>
      </c>
      <c r="K131" s="150">
        <f aca="true" t="shared" si="3" ref="K131:K165">J131/H131*100</f>
        <v>100</v>
      </c>
    </row>
    <row r="132" spans="1:11" ht="23.25" thickBot="1">
      <c r="A132" s="137" t="s">
        <v>145</v>
      </c>
      <c r="B132" s="138" t="s">
        <v>24</v>
      </c>
      <c r="C132" s="136">
        <v>966</v>
      </c>
      <c r="D132" s="137" t="s">
        <v>88</v>
      </c>
      <c r="E132" s="4" t="s">
        <v>506</v>
      </c>
      <c r="F132" s="136">
        <v>200</v>
      </c>
      <c r="G132" s="59"/>
      <c r="H132" s="64">
        <v>1894.7</v>
      </c>
      <c r="I132" s="61"/>
      <c r="J132" s="61">
        <v>1894.7</v>
      </c>
      <c r="K132" s="62">
        <f t="shared" si="3"/>
        <v>100</v>
      </c>
    </row>
    <row r="133" spans="1:12" ht="34.5" thickBot="1">
      <c r="A133" s="148" t="s">
        <v>192</v>
      </c>
      <c r="B133" s="153" t="s">
        <v>249</v>
      </c>
      <c r="C133" s="150">
        <v>966</v>
      </c>
      <c r="D133" s="151" t="s">
        <v>88</v>
      </c>
      <c r="E133" s="151" t="s">
        <v>507</v>
      </c>
      <c r="F133" s="150"/>
      <c r="G133" s="59"/>
      <c r="H133" s="186">
        <f>H134+H135+H136</f>
        <v>14371.1</v>
      </c>
      <c r="I133" s="186" t="e">
        <f>I134+I135+I136</f>
        <v>#VALUE!</v>
      </c>
      <c r="J133" s="186">
        <f>J134+J135+J136</f>
        <v>14370.800000000001</v>
      </c>
      <c r="K133" s="186">
        <f t="shared" si="3"/>
        <v>99.99791247712423</v>
      </c>
      <c r="L133" s="205"/>
    </row>
    <row r="134" spans="1:12" ht="67.5">
      <c r="A134" s="4" t="s">
        <v>402</v>
      </c>
      <c r="B134" s="33" t="s">
        <v>104</v>
      </c>
      <c r="C134" s="136">
        <v>966</v>
      </c>
      <c r="D134" s="137" t="s">
        <v>88</v>
      </c>
      <c r="E134" s="4" t="s">
        <v>507</v>
      </c>
      <c r="F134" s="136">
        <v>100</v>
      </c>
      <c r="G134" s="70"/>
      <c r="H134" s="65">
        <v>10625.3</v>
      </c>
      <c r="I134" s="61"/>
      <c r="J134" s="61">
        <f>8245.6+2379.6</f>
        <v>10625.2</v>
      </c>
      <c r="K134" s="62">
        <f t="shared" si="3"/>
        <v>99.99905885010307</v>
      </c>
      <c r="L134" s="205"/>
    </row>
    <row r="135" spans="1:12" ht="22.5">
      <c r="A135" s="1" t="s">
        <v>403</v>
      </c>
      <c r="B135" s="34" t="s">
        <v>24</v>
      </c>
      <c r="C135" s="135">
        <v>966</v>
      </c>
      <c r="D135" s="21" t="s">
        <v>88</v>
      </c>
      <c r="E135" s="1" t="s">
        <v>507</v>
      </c>
      <c r="F135" s="22">
        <v>200</v>
      </c>
      <c r="G135" s="70">
        <v>226</v>
      </c>
      <c r="H135" s="65">
        <v>3744.7</v>
      </c>
      <c r="I135" s="61" t="s">
        <v>241</v>
      </c>
      <c r="J135" s="61">
        <f>13.8+3730.7</f>
        <v>3744.5</v>
      </c>
      <c r="K135" s="62">
        <f t="shared" si="3"/>
        <v>99.99465911822043</v>
      </c>
      <c r="L135" s="205"/>
    </row>
    <row r="136" spans="1:12" ht="13.5" thickBot="1">
      <c r="A136" s="13" t="s">
        <v>508</v>
      </c>
      <c r="B136" s="37" t="s">
        <v>108</v>
      </c>
      <c r="C136" s="14">
        <v>966</v>
      </c>
      <c r="D136" s="13" t="s">
        <v>88</v>
      </c>
      <c r="E136" s="18" t="s">
        <v>507</v>
      </c>
      <c r="F136" s="14">
        <v>800</v>
      </c>
      <c r="G136" s="70">
        <v>310</v>
      </c>
      <c r="H136" s="65">
        <v>1.1</v>
      </c>
      <c r="I136" s="61"/>
      <c r="J136" s="61">
        <v>1.1</v>
      </c>
      <c r="K136" s="62">
        <f t="shared" si="3"/>
        <v>100</v>
      </c>
      <c r="L136" s="205"/>
    </row>
    <row r="137" spans="1:12" ht="50.25" customHeight="1" thickBot="1">
      <c r="A137" s="179" t="s">
        <v>404</v>
      </c>
      <c r="B137" s="216" t="s">
        <v>254</v>
      </c>
      <c r="C137" s="215">
        <v>966</v>
      </c>
      <c r="D137" s="151" t="s">
        <v>88</v>
      </c>
      <c r="E137" s="151" t="s">
        <v>171</v>
      </c>
      <c r="F137" s="150"/>
      <c r="G137" s="59"/>
      <c r="H137" s="150">
        <f>H138</f>
        <v>23.8</v>
      </c>
      <c r="I137" s="150"/>
      <c r="J137" s="150">
        <f>J138</f>
        <v>23.7</v>
      </c>
      <c r="K137" s="150">
        <f t="shared" si="3"/>
        <v>99.5798319327731</v>
      </c>
      <c r="L137" s="213"/>
    </row>
    <row r="138" spans="1:12" ht="23.25" thickBot="1">
      <c r="A138" s="137" t="s">
        <v>509</v>
      </c>
      <c r="B138" s="177" t="s">
        <v>24</v>
      </c>
      <c r="C138" s="136">
        <v>966</v>
      </c>
      <c r="D138" s="137" t="s">
        <v>88</v>
      </c>
      <c r="E138" s="178" t="s">
        <v>171</v>
      </c>
      <c r="F138" s="136">
        <v>200</v>
      </c>
      <c r="G138" s="59"/>
      <c r="H138" s="64">
        <v>23.8</v>
      </c>
      <c r="I138" s="61"/>
      <c r="J138" s="61">
        <v>23.7</v>
      </c>
      <c r="K138" s="62">
        <f t="shared" si="3"/>
        <v>99.5798319327731</v>
      </c>
      <c r="L138" s="213"/>
    </row>
    <row r="139" spans="1:11" ht="13.5" thickBot="1">
      <c r="A139" s="159" t="s">
        <v>132</v>
      </c>
      <c r="B139" s="160" t="s">
        <v>52</v>
      </c>
      <c r="C139" s="161">
        <v>966</v>
      </c>
      <c r="D139" s="164" t="s">
        <v>89</v>
      </c>
      <c r="E139" s="164"/>
      <c r="F139" s="163"/>
      <c r="G139" s="59"/>
      <c r="H139" s="199">
        <f>H140</f>
        <v>340.09999999999997</v>
      </c>
      <c r="I139" s="163"/>
      <c r="J139" s="199">
        <f>J140</f>
        <v>340</v>
      </c>
      <c r="K139" s="199">
        <f t="shared" si="3"/>
        <v>99.97059688326964</v>
      </c>
    </row>
    <row r="140" spans="1:11" ht="13.5" thickBot="1">
      <c r="A140" s="155" t="s">
        <v>164</v>
      </c>
      <c r="B140" s="156" t="s">
        <v>54</v>
      </c>
      <c r="C140" s="157">
        <v>966</v>
      </c>
      <c r="D140" s="158" t="s">
        <v>90</v>
      </c>
      <c r="E140" s="158"/>
      <c r="F140" s="157"/>
      <c r="G140" s="59"/>
      <c r="H140" s="196">
        <f>H141</f>
        <v>340.09999999999997</v>
      </c>
      <c r="I140" s="157"/>
      <c r="J140" s="196">
        <f>J141</f>
        <v>340</v>
      </c>
      <c r="K140" s="196">
        <f t="shared" si="3"/>
        <v>99.97059688326964</v>
      </c>
    </row>
    <row r="141" spans="1:12" ht="102" thickBot="1">
      <c r="A141" s="148" t="s">
        <v>50</v>
      </c>
      <c r="B141" s="153" t="s">
        <v>112</v>
      </c>
      <c r="C141" s="150">
        <v>966</v>
      </c>
      <c r="D141" s="151" t="s">
        <v>90</v>
      </c>
      <c r="E141" s="151" t="s">
        <v>510</v>
      </c>
      <c r="F141" s="150"/>
      <c r="G141" s="59">
        <v>226</v>
      </c>
      <c r="H141" s="186">
        <f>H142+H143</f>
        <v>340.09999999999997</v>
      </c>
      <c r="I141" s="186">
        <f>I142+I143</f>
        <v>0</v>
      </c>
      <c r="J141" s="186">
        <f>J142+J143</f>
        <v>340</v>
      </c>
      <c r="K141" s="186">
        <f t="shared" si="3"/>
        <v>99.97059688326964</v>
      </c>
      <c r="L141" s="213"/>
    </row>
    <row r="142" spans="1:12" ht="22.5">
      <c r="A142" s="26" t="s">
        <v>51</v>
      </c>
      <c r="B142" s="175" t="s">
        <v>24</v>
      </c>
      <c r="C142" s="25">
        <v>966</v>
      </c>
      <c r="D142" s="26" t="s">
        <v>90</v>
      </c>
      <c r="E142" s="4" t="s">
        <v>510</v>
      </c>
      <c r="F142" s="25">
        <v>200</v>
      </c>
      <c r="G142" s="59">
        <v>290</v>
      </c>
      <c r="H142" s="64">
        <v>321.9</v>
      </c>
      <c r="I142" s="61"/>
      <c r="J142" s="61">
        <v>321.8</v>
      </c>
      <c r="K142" s="62">
        <f t="shared" si="3"/>
        <v>99.96893445169309</v>
      </c>
      <c r="L142" s="213"/>
    </row>
    <row r="143" spans="1:12" ht="13.5" thickBot="1">
      <c r="A143" s="137" t="s">
        <v>518</v>
      </c>
      <c r="B143" s="34" t="s">
        <v>511</v>
      </c>
      <c r="C143" s="25">
        <v>966</v>
      </c>
      <c r="D143" s="26" t="s">
        <v>90</v>
      </c>
      <c r="E143" s="4" t="s">
        <v>510</v>
      </c>
      <c r="F143" s="25">
        <v>300</v>
      </c>
      <c r="G143" s="59"/>
      <c r="H143" s="64">
        <v>18.2</v>
      </c>
      <c r="I143" s="61"/>
      <c r="J143" s="62">
        <v>18.2</v>
      </c>
      <c r="K143" s="62">
        <f t="shared" si="3"/>
        <v>100</v>
      </c>
      <c r="L143" s="213"/>
    </row>
    <row r="144" spans="1:12" ht="13.5" thickBot="1">
      <c r="A144" s="159" t="s">
        <v>146</v>
      </c>
      <c r="B144" s="160" t="s">
        <v>57</v>
      </c>
      <c r="C144" s="161">
        <v>966</v>
      </c>
      <c r="D144" s="162" t="s">
        <v>91</v>
      </c>
      <c r="E144" s="162"/>
      <c r="F144" s="161"/>
      <c r="G144" s="59"/>
      <c r="H144" s="197">
        <f>H145</f>
        <v>14947.3</v>
      </c>
      <c r="I144" s="161"/>
      <c r="J144" s="198">
        <f>J146+J148</f>
        <v>14947.199999999999</v>
      </c>
      <c r="K144" s="198">
        <f t="shared" si="3"/>
        <v>99.99933098285308</v>
      </c>
      <c r="L144" s="213"/>
    </row>
    <row r="145" spans="1:12" ht="13.5" thickBot="1">
      <c r="A145" s="155" t="s">
        <v>53</v>
      </c>
      <c r="B145" s="156" t="s">
        <v>59</v>
      </c>
      <c r="C145" s="157">
        <v>966</v>
      </c>
      <c r="D145" s="158" t="s">
        <v>92</v>
      </c>
      <c r="E145" s="158"/>
      <c r="F145" s="157"/>
      <c r="G145" s="59">
        <v>226</v>
      </c>
      <c r="H145" s="196">
        <f>H146+H148</f>
        <v>14947.3</v>
      </c>
      <c r="I145" s="158" t="s">
        <v>241</v>
      </c>
      <c r="J145" s="196">
        <f>J146+J148</f>
        <v>14947.199999999999</v>
      </c>
      <c r="K145" s="196">
        <f t="shared" si="3"/>
        <v>99.99933098285308</v>
      </c>
      <c r="L145" s="213"/>
    </row>
    <row r="146" spans="1:12" ht="57" thickBot="1">
      <c r="A146" s="148" t="s">
        <v>55</v>
      </c>
      <c r="B146" s="153" t="s">
        <v>121</v>
      </c>
      <c r="C146" s="150">
        <v>966</v>
      </c>
      <c r="D146" s="151" t="s">
        <v>92</v>
      </c>
      <c r="E146" s="151" t="s">
        <v>512</v>
      </c>
      <c r="F146" s="150"/>
      <c r="G146" s="59">
        <v>310</v>
      </c>
      <c r="H146" s="186">
        <f>H147</f>
        <v>14790.9</v>
      </c>
      <c r="I146" s="186">
        <f>I147</f>
        <v>0</v>
      </c>
      <c r="J146" s="186">
        <f>J147</f>
        <v>14790.8</v>
      </c>
      <c r="K146" s="186">
        <f t="shared" si="3"/>
        <v>99.99932390861949</v>
      </c>
      <c r="L146" s="213"/>
    </row>
    <row r="147" spans="1:12" ht="23.25" thickBot="1">
      <c r="A147" s="26" t="s">
        <v>56</v>
      </c>
      <c r="B147" s="169" t="s">
        <v>24</v>
      </c>
      <c r="C147" s="25">
        <v>966</v>
      </c>
      <c r="D147" s="26" t="s">
        <v>92</v>
      </c>
      <c r="E147" s="4" t="s">
        <v>512</v>
      </c>
      <c r="F147" s="25">
        <v>200</v>
      </c>
      <c r="G147" s="59"/>
      <c r="H147" s="64">
        <v>14790.9</v>
      </c>
      <c r="I147" s="61"/>
      <c r="J147" s="61">
        <f>194.5+14556.3+40</f>
        <v>14790.8</v>
      </c>
      <c r="K147" s="62">
        <f t="shared" si="3"/>
        <v>99.99932390861949</v>
      </c>
      <c r="L147" s="213"/>
    </row>
    <row r="148" spans="1:12" ht="34.5" thickBot="1">
      <c r="A148" s="148" t="s">
        <v>147</v>
      </c>
      <c r="B148" s="153" t="s">
        <v>122</v>
      </c>
      <c r="C148" s="150">
        <v>966</v>
      </c>
      <c r="D148" s="151" t="s">
        <v>92</v>
      </c>
      <c r="E148" s="151" t="s">
        <v>513</v>
      </c>
      <c r="F148" s="150"/>
      <c r="G148" s="59">
        <v>310</v>
      </c>
      <c r="H148" s="186">
        <f>H149</f>
        <v>156.4</v>
      </c>
      <c r="I148" s="150"/>
      <c r="J148" s="150">
        <f>J149</f>
        <v>156.4</v>
      </c>
      <c r="K148" s="186">
        <f t="shared" si="3"/>
        <v>100</v>
      </c>
      <c r="L148" s="213"/>
    </row>
    <row r="149" spans="1:12" ht="23.25" thickBot="1">
      <c r="A149" s="26" t="s">
        <v>148</v>
      </c>
      <c r="B149" s="169" t="s">
        <v>24</v>
      </c>
      <c r="C149" s="25">
        <v>966</v>
      </c>
      <c r="D149" s="26" t="s">
        <v>92</v>
      </c>
      <c r="E149" s="4" t="s">
        <v>513</v>
      </c>
      <c r="F149" s="25">
        <v>200</v>
      </c>
      <c r="G149" s="59">
        <v>340</v>
      </c>
      <c r="H149" s="64">
        <v>156.4</v>
      </c>
      <c r="I149" s="61"/>
      <c r="J149" s="61">
        <f>9+147.4</f>
        <v>156.4</v>
      </c>
      <c r="K149" s="62">
        <f t="shared" si="3"/>
        <v>100</v>
      </c>
      <c r="L149" s="213"/>
    </row>
    <row r="150" spans="1:11" ht="13.5" thickBot="1">
      <c r="A150" s="159" t="s">
        <v>149</v>
      </c>
      <c r="B150" s="160" t="s">
        <v>61</v>
      </c>
      <c r="C150" s="161">
        <v>966</v>
      </c>
      <c r="D150" s="162">
        <v>1000</v>
      </c>
      <c r="E150" s="162"/>
      <c r="F150" s="161"/>
      <c r="G150" s="59"/>
      <c r="H150" s="162">
        <f>H151+H154</f>
        <v>11824.4</v>
      </c>
      <c r="I150" s="162">
        <f>I151+I154</f>
        <v>0</v>
      </c>
      <c r="J150" s="198">
        <f>J151+J154</f>
        <v>9494.8</v>
      </c>
      <c r="K150" s="198">
        <f t="shared" si="3"/>
        <v>80.29836609045702</v>
      </c>
    </row>
    <row r="151" spans="1:11" ht="13.5" thickBot="1">
      <c r="A151" s="155" t="s">
        <v>58</v>
      </c>
      <c r="B151" s="156" t="s">
        <v>63</v>
      </c>
      <c r="C151" s="157">
        <v>966</v>
      </c>
      <c r="D151" s="158">
        <v>1003</v>
      </c>
      <c r="E151" s="158"/>
      <c r="F151" s="157"/>
      <c r="G151" s="59">
        <v>226</v>
      </c>
      <c r="H151" s="196">
        <f aca="true" t="shared" si="4" ref="H151:J152">H152</f>
        <v>456.8</v>
      </c>
      <c r="I151" s="192">
        <f t="shared" si="4"/>
        <v>0</v>
      </c>
      <c r="J151" s="196">
        <f t="shared" si="4"/>
        <v>456.8</v>
      </c>
      <c r="K151" s="196">
        <f t="shared" si="3"/>
        <v>100</v>
      </c>
    </row>
    <row r="152" spans="1:11" ht="113.25" thickBot="1">
      <c r="A152" s="148" t="s">
        <v>60</v>
      </c>
      <c r="B152" s="153" t="s">
        <v>514</v>
      </c>
      <c r="C152" s="150">
        <v>966</v>
      </c>
      <c r="D152" s="151">
        <v>1003</v>
      </c>
      <c r="E152" s="151" t="s">
        <v>188</v>
      </c>
      <c r="F152" s="150"/>
      <c r="G152" s="59">
        <v>310</v>
      </c>
      <c r="H152" s="186">
        <f t="shared" si="4"/>
        <v>456.8</v>
      </c>
      <c r="I152" s="186">
        <f t="shared" si="4"/>
        <v>0</v>
      </c>
      <c r="J152" s="186">
        <f t="shared" si="4"/>
        <v>456.8</v>
      </c>
      <c r="K152" s="150">
        <f t="shared" si="3"/>
        <v>100</v>
      </c>
    </row>
    <row r="153" spans="1:11" ht="23.25" thickBot="1">
      <c r="A153" s="4" t="s">
        <v>150</v>
      </c>
      <c r="B153" s="5" t="s">
        <v>427</v>
      </c>
      <c r="C153" s="12">
        <v>966</v>
      </c>
      <c r="D153" s="4">
        <v>1003</v>
      </c>
      <c r="E153" s="4" t="s">
        <v>188</v>
      </c>
      <c r="F153" s="12">
        <v>300</v>
      </c>
      <c r="G153" s="59"/>
      <c r="H153" s="64">
        <v>456.8</v>
      </c>
      <c r="I153" s="61"/>
      <c r="J153" s="62">
        <v>456.8</v>
      </c>
      <c r="K153" s="62">
        <f t="shared" si="3"/>
        <v>100</v>
      </c>
    </row>
    <row r="154" spans="1:11" ht="13.5" thickBot="1">
      <c r="A154" s="155" t="s">
        <v>151</v>
      </c>
      <c r="B154" s="156" t="s">
        <v>65</v>
      </c>
      <c r="C154" s="157">
        <v>966</v>
      </c>
      <c r="D154" s="158">
        <v>1004</v>
      </c>
      <c r="E154" s="158"/>
      <c r="F154" s="157"/>
      <c r="G154" s="59">
        <v>226</v>
      </c>
      <c r="H154" s="196">
        <f>H155+H157</f>
        <v>11367.6</v>
      </c>
      <c r="I154" s="196">
        <f>I156</f>
        <v>0</v>
      </c>
      <c r="J154" s="196">
        <f>J155+J157</f>
        <v>9038</v>
      </c>
      <c r="K154" s="196">
        <f t="shared" si="3"/>
        <v>79.50666807417572</v>
      </c>
    </row>
    <row r="155" spans="1:11" ht="57" thickBot="1">
      <c r="A155" s="148" t="s">
        <v>152</v>
      </c>
      <c r="B155" s="153" t="s">
        <v>515</v>
      </c>
      <c r="C155" s="150">
        <v>966</v>
      </c>
      <c r="D155" s="151">
        <v>1004</v>
      </c>
      <c r="E155" s="151" t="s">
        <v>235</v>
      </c>
      <c r="F155" s="150"/>
      <c r="G155" s="59"/>
      <c r="H155" s="186">
        <f>H156</f>
        <v>7828.6</v>
      </c>
      <c r="I155" s="150"/>
      <c r="J155" s="150">
        <f>J156</f>
        <v>6366.3</v>
      </c>
      <c r="K155" s="186">
        <f t="shared" si="3"/>
        <v>81.32105357279717</v>
      </c>
    </row>
    <row r="156" spans="1:11" ht="23.25" thickBot="1">
      <c r="A156" s="4" t="s">
        <v>153</v>
      </c>
      <c r="B156" s="5" t="s">
        <v>427</v>
      </c>
      <c r="C156" s="12">
        <v>966</v>
      </c>
      <c r="D156" s="4">
        <v>1004</v>
      </c>
      <c r="E156" s="4" t="s">
        <v>235</v>
      </c>
      <c r="F156" s="12">
        <v>300</v>
      </c>
      <c r="G156" s="59"/>
      <c r="H156" s="64">
        <v>7828.6</v>
      </c>
      <c r="I156" s="61"/>
      <c r="J156" s="61">
        <v>6366.3</v>
      </c>
      <c r="K156" s="62">
        <f>J156/H156*100</f>
        <v>81.32105357279717</v>
      </c>
    </row>
    <row r="157" spans="1:11" ht="57" thickBot="1">
      <c r="A157" s="148" t="s">
        <v>154</v>
      </c>
      <c r="B157" s="153" t="s">
        <v>124</v>
      </c>
      <c r="C157" s="150">
        <v>966</v>
      </c>
      <c r="D157" s="151">
        <v>1004</v>
      </c>
      <c r="E157" s="151" t="s">
        <v>236</v>
      </c>
      <c r="F157" s="150"/>
      <c r="G157" s="59">
        <v>310</v>
      </c>
      <c r="H157" s="186">
        <f>H158</f>
        <v>3539</v>
      </c>
      <c r="I157" s="186">
        <f>I158</f>
        <v>0</v>
      </c>
      <c r="J157" s="186">
        <f>J158</f>
        <v>2671.7</v>
      </c>
      <c r="K157" s="186">
        <f t="shared" si="3"/>
        <v>75.49307714043515</v>
      </c>
    </row>
    <row r="158" spans="1:11" ht="23.25" thickBot="1">
      <c r="A158" s="4" t="s">
        <v>155</v>
      </c>
      <c r="B158" s="5" t="s">
        <v>427</v>
      </c>
      <c r="C158" s="12">
        <v>966</v>
      </c>
      <c r="D158" s="4">
        <v>1004</v>
      </c>
      <c r="E158" s="4" t="s">
        <v>236</v>
      </c>
      <c r="F158" s="12">
        <v>300</v>
      </c>
      <c r="G158" s="59"/>
      <c r="H158" s="64">
        <v>3539</v>
      </c>
      <c r="I158" s="61"/>
      <c r="J158" s="62">
        <v>2671.7</v>
      </c>
      <c r="K158" s="62">
        <f t="shared" si="3"/>
        <v>75.49307714043515</v>
      </c>
    </row>
    <row r="159" spans="1:11" ht="13.5" thickBot="1">
      <c r="A159" s="159" t="s">
        <v>156</v>
      </c>
      <c r="B159" s="160" t="s">
        <v>66</v>
      </c>
      <c r="C159" s="161">
        <v>966</v>
      </c>
      <c r="D159" s="162">
        <v>1100</v>
      </c>
      <c r="E159" s="162"/>
      <c r="F159" s="161"/>
      <c r="G159" s="59"/>
      <c r="H159" s="162">
        <f>H160+H163</f>
        <v>156.5</v>
      </c>
      <c r="I159" s="161">
        <f>I160</f>
        <v>0</v>
      </c>
      <c r="J159" s="162">
        <f>J160+J163</f>
        <v>156.5</v>
      </c>
      <c r="K159" s="161">
        <f t="shared" si="3"/>
        <v>100</v>
      </c>
    </row>
    <row r="160" spans="1:11" ht="13.5" thickBot="1">
      <c r="A160" s="155" t="s">
        <v>62</v>
      </c>
      <c r="B160" s="156" t="s">
        <v>516</v>
      </c>
      <c r="C160" s="157">
        <v>966</v>
      </c>
      <c r="D160" s="158" t="s">
        <v>398</v>
      </c>
      <c r="E160" s="158"/>
      <c r="F160" s="157"/>
      <c r="G160" s="59">
        <v>211</v>
      </c>
      <c r="H160" s="196">
        <f>H161</f>
        <v>58.5</v>
      </c>
      <c r="I160" s="196">
        <f>I161</f>
        <v>0</v>
      </c>
      <c r="J160" s="196">
        <f>J161</f>
        <v>58.5</v>
      </c>
      <c r="K160" s="157">
        <f t="shared" si="3"/>
        <v>100</v>
      </c>
    </row>
    <row r="161" spans="1:11" ht="124.5" thickBot="1">
      <c r="A161" s="148" t="s">
        <v>64</v>
      </c>
      <c r="B161" s="153" t="s">
        <v>126</v>
      </c>
      <c r="C161" s="150">
        <v>966</v>
      </c>
      <c r="D161" s="151" t="s">
        <v>398</v>
      </c>
      <c r="E161" s="151" t="s">
        <v>238</v>
      </c>
      <c r="F161" s="150"/>
      <c r="G161" s="59"/>
      <c r="H161" s="186">
        <f>H162</f>
        <v>58.5</v>
      </c>
      <c r="I161" s="186">
        <f>I162</f>
        <v>0</v>
      </c>
      <c r="J161" s="186">
        <f>J162</f>
        <v>58.5</v>
      </c>
      <c r="K161" s="150">
        <f t="shared" si="3"/>
        <v>100</v>
      </c>
    </row>
    <row r="162" spans="1:11" ht="23.25" thickBot="1">
      <c r="A162" s="26" t="s">
        <v>157</v>
      </c>
      <c r="B162" s="139" t="s">
        <v>24</v>
      </c>
      <c r="C162" s="25">
        <v>966</v>
      </c>
      <c r="D162" s="26" t="s">
        <v>398</v>
      </c>
      <c r="E162" s="4" t="s">
        <v>238</v>
      </c>
      <c r="F162" s="25">
        <v>200</v>
      </c>
      <c r="G162" s="59">
        <v>222</v>
      </c>
      <c r="H162" s="64">
        <v>58.5</v>
      </c>
      <c r="I162" s="61"/>
      <c r="J162" s="61">
        <v>58.5</v>
      </c>
      <c r="K162" s="62">
        <f t="shared" si="3"/>
        <v>100</v>
      </c>
    </row>
    <row r="163" spans="1:11" ht="13.5" thickBot="1">
      <c r="A163" s="155" t="s">
        <v>288</v>
      </c>
      <c r="B163" s="156" t="s">
        <v>68</v>
      </c>
      <c r="C163" s="157">
        <v>966</v>
      </c>
      <c r="D163" s="158">
        <v>1102</v>
      </c>
      <c r="E163" s="158"/>
      <c r="F163" s="157"/>
      <c r="G163" s="59"/>
      <c r="H163" s="158">
        <f aca="true" t="shared" si="5" ref="H163:J164">H164</f>
        <v>98</v>
      </c>
      <c r="I163" s="158">
        <f t="shared" si="5"/>
        <v>0</v>
      </c>
      <c r="J163" s="158">
        <f t="shared" si="5"/>
        <v>98</v>
      </c>
      <c r="K163" s="207">
        <f t="shared" si="3"/>
        <v>100</v>
      </c>
    </row>
    <row r="164" spans="1:11" ht="124.5" thickBot="1">
      <c r="A164" s="148" t="s">
        <v>405</v>
      </c>
      <c r="B164" s="153" t="s">
        <v>126</v>
      </c>
      <c r="C164" s="150">
        <v>966</v>
      </c>
      <c r="D164" s="151">
        <v>1102</v>
      </c>
      <c r="E164" s="151" t="s">
        <v>238</v>
      </c>
      <c r="F164" s="150"/>
      <c r="G164" s="59">
        <v>213</v>
      </c>
      <c r="H164" s="186">
        <f t="shared" si="5"/>
        <v>98</v>
      </c>
      <c r="I164" s="186">
        <f t="shared" si="5"/>
        <v>0</v>
      </c>
      <c r="J164" s="186">
        <f t="shared" si="5"/>
        <v>98</v>
      </c>
      <c r="K164" s="208">
        <f t="shared" si="3"/>
        <v>100</v>
      </c>
    </row>
    <row r="165" spans="1:12" ht="23.25" thickBot="1">
      <c r="A165" s="26" t="s">
        <v>406</v>
      </c>
      <c r="B165" s="139" t="s">
        <v>24</v>
      </c>
      <c r="C165" s="25">
        <v>966</v>
      </c>
      <c r="D165" s="26">
        <v>1102</v>
      </c>
      <c r="E165" s="4" t="s">
        <v>238</v>
      </c>
      <c r="F165" s="25">
        <v>200</v>
      </c>
      <c r="G165" s="59"/>
      <c r="H165" s="64">
        <v>98</v>
      </c>
      <c r="I165" s="61"/>
      <c r="J165" s="62">
        <v>98</v>
      </c>
      <c r="K165" s="209">
        <f t="shared" si="3"/>
        <v>100</v>
      </c>
      <c r="L165" s="213"/>
    </row>
    <row r="166" spans="1:11" ht="13.5" thickBot="1">
      <c r="A166" s="159" t="s">
        <v>158</v>
      </c>
      <c r="B166" s="160" t="s">
        <v>71</v>
      </c>
      <c r="C166" s="161">
        <v>966</v>
      </c>
      <c r="D166" s="162">
        <v>1200</v>
      </c>
      <c r="E166" s="162"/>
      <c r="F166" s="161"/>
      <c r="G166" s="59"/>
      <c r="H166" s="197">
        <f aca="true" t="shared" si="6" ref="H166:J168">H167</f>
        <v>684.6</v>
      </c>
      <c r="I166" s="197">
        <f t="shared" si="6"/>
        <v>0</v>
      </c>
      <c r="J166" s="197">
        <f t="shared" si="6"/>
        <v>684.6</v>
      </c>
      <c r="K166" s="210">
        <f>J166/H166*100</f>
        <v>100</v>
      </c>
    </row>
    <row r="167" spans="1:11" ht="13.5" thickBot="1">
      <c r="A167" s="155" t="s">
        <v>67</v>
      </c>
      <c r="B167" s="156" t="s">
        <v>72</v>
      </c>
      <c r="C167" s="157">
        <v>966</v>
      </c>
      <c r="D167" s="158">
        <v>1202</v>
      </c>
      <c r="E167" s="158"/>
      <c r="F167" s="157"/>
      <c r="G167" s="59"/>
      <c r="H167" s="158">
        <f t="shared" si="6"/>
        <v>684.6</v>
      </c>
      <c r="I167" s="158">
        <f t="shared" si="6"/>
        <v>0</v>
      </c>
      <c r="J167" s="158">
        <f t="shared" si="6"/>
        <v>684.6</v>
      </c>
      <c r="K167" s="207">
        <f>J167/H167*100</f>
        <v>100</v>
      </c>
    </row>
    <row r="168" spans="1:11" ht="147" thickBot="1">
      <c r="A168" s="148" t="s">
        <v>69</v>
      </c>
      <c r="B168" s="153" t="s">
        <v>110</v>
      </c>
      <c r="C168" s="150">
        <v>966</v>
      </c>
      <c r="D168" s="151">
        <v>1202</v>
      </c>
      <c r="E168" s="151" t="s">
        <v>189</v>
      </c>
      <c r="F168" s="150"/>
      <c r="G168" s="59">
        <v>221</v>
      </c>
      <c r="H168" s="186">
        <f t="shared" si="6"/>
        <v>684.6</v>
      </c>
      <c r="I168" s="186">
        <f t="shared" si="6"/>
        <v>0</v>
      </c>
      <c r="J168" s="186">
        <f t="shared" si="6"/>
        <v>684.6</v>
      </c>
      <c r="K168" s="186">
        <f>J168/H168*100</f>
        <v>100</v>
      </c>
    </row>
    <row r="169" spans="1:11" ht="22.5">
      <c r="A169" s="26" t="s">
        <v>70</v>
      </c>
      <c r="B169" s="139" t="s">
        <v>24</v>
      </c>
      <c r="C169" s="25">
        <v>966</v>
      </c>
      <c r="D169" s="26">
        <v>1202</v>
      </c>
      <c r="E169" s="4" t="s">
        <v>189</v>
      </c>
      <c r="F169" s="25">
        <v>200</v>
      </c>
      <c r="G169" s="59"/>
      <c r="H169" s="64">
        <v>684.6</v>
      </c>
      <c r="I169" s="61"/>
      <c r="J169" s="61">
        <v>684.6</v>
      </c>
      <c r="K169" s="62">
        <f>J169/H169*100</f>
        <v>100</v>
      </c>
    </row>
    <row r="170" spans="1:11" ht="12.75">
      <c r="A170" s="21"/>
      <c r="B170" s="59" t="s">
        <v>73</v>
      </c>
      <c r="C170" s="59"/>
      <c r="D170" s="59"/>
      <c r="E170" s="59"/>
      <c r="F170" s="59"/>
      <c r="G170" s="59"/>
      <c r="H170" s="64">
        <f>H48+H13</f>
        <v>130054.80000000003</v>
      </c>
      <c r="I170" s="61"/>
      <c r="J170" s="62">
        <f>J48+J13</f>
        <v>120131.20000000001</v>
      </c>
      <c r="K170" s="62">
        <f>J170/H170*100</f>
        <v>92.36967801265311</v>
      </c>
    </row>
  </sheetData>
  <sheetProtection/>
  <mergeCells count="6">
    <mergeCell ref="B5:K5"/>
    <mergeCell ref="B10:F10"/>
    <mergeCell ref="D1:K1"/>
    <mergeCell ref="B2:K2"/>
    <mergeCell ref="B3:K3"/>
    <mergeCell ref="B4:K4"/>
  </mergeCells>
  <printOptions/>
  <pageMargins left="0.2362204724409449" right="0.2362204724409449" top="0.1968503937007874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4"/>
  <sheetViews>
    <sheetView tabSelected="1" zoomScalePageLayoutView="0" workbookViewId="0" topLeftCell="A22">
      <selection activeCell="K326" sqref="K326"/>
    </sheetView>
  </sheetViews>
  <sheetFormatPr defaultColWidth="9.00390625" defaultRowHeight="12.75"/>
  <cols>
    <col min="1" max="1" width="12.00390625" style="0" customWidth="1"/>
    <col min="2" max="2" width="27.875" style="0" customWidth="1"/>
    <col min="3" max="3" width="7.25390625" style="0" customWidth="1"/>
    <col min="4" max="4" width="13.125" style="0" customWidth="1"/>
    <col min="5" max="5" width="10.875" style="0" customWidth="1"/>
    <col min="6" max="6" width="1.12109375" style="0" customWidth="1"/>
    <col min="7" max="7" width="9.125" style="0" hidden="1" customWidth="1"/>
    <col min="8" max="8" width="9.00390625" style="0" hidden="1" customWidth="1"/>
    <col min="9" max="9" width="9.125" style="0" hidden="1" customWidth="1"/>
  </cols>
  <sheetData>
    <row r="1" spans="1:11" ht="12.75">
      <c r="A1" s="27"/>
      <c r="B1" s="46"/>
      <c r="C1" s="46"/>
      <c r="D1" s="230" t="s">
        <v>475</v>
      </c>
      <c r="E1" s="230"/>
      <c r="F1" s="230"/>
      <c r="G1" s="230"/>
      <c r="H1" s="230"/>
      <c r="I1" s="230"/>
      <c r="J1" s="230"/>
      <c r="K1" s="230"/>
    </row>
    <row r="2" spans="1:11" ht="12.75" customHeight="1">
      <c r="A2" s="27"/>
      <c r="B2" s="226" t="s">
        <v>528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>
      <c r="A3" s="30"/>
      <c r="B3" s="226" t="s">
        <v>433</v>
      </c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 customHeight="1">
      <c r="A4" s="30"/>
      <c r="B4" s="226" t="s">
        <v>531</v>
      </c>
      <c r="C4" s="226"/>
      <c r="D4" s="226"/>
      <c r="E4" s="226"/>
      <c r="F4" s="226"/>
      <c r="G4" s="226"/>
      <c r="H4" s="226"/>
      <c r="I4" s="226"/>
      <c r="J4" s="226"/>
      <c r="K4" s="226"/>
    </row>
    <row r="5" spans="1:11" ht="27.75" customHeight="1">
      <c r="A5" s="30"/>
      <c r="B5" s="227" t="s">
        <v>486</v>
      </c>
      <c r="C5" s="227"/>
      <c r="D5" s="227"/>
      <c r="E5" s="227"/>
      <c r="F5" s="227"/>
      <c r="G5" s="227"/>
      <c r="H5" s="227"/>
      <c r="I5" s="227"/>
      <c r="J5" s="227"/>
      <c r="K5" s="227"/>
    </row>
    <row r="6" spans="1:8" ht="12.75">
      <c r="A6" s="30"/>
      <c r="B6" s="48"/>
      <c r="C6" s="48"/>
      <c r="D6" s="48"/>
      <c r="E6" s="48"/>
      <c r="F6" s="47"/>
      <c r="G6" s="47"/>
      <c r="H6" s="47"/>
    </row>
    <row r="7" spans="1:8" ht="12.75">
      <c r="A7" s="30"/>
      <c r="B7" s="2"/>
      <c r="C7" s="29" t="s">
        <v>471</v>
      </c>
      <c r="D7" s="35"/>
      <c r="E7" s="28"/>
      <c r="F7" s="28"/>
      <c r="G7" s="28"/>
      <c r="H7" s="28"/>
    </row>
    <row r="8" spans="1:4" ht="12.75">
      <c r="A8" s="31"/>
      <c r="B8" s="27"/>
      <c r="C8" s="29" t="s">
        <v>472</v>
      </c>
      <c r="D8" s="27"/>
    </row>
    <row r="9" spans="1:4" ht="12.75">
      <c r="A9" s="32"/>
      <c r="B9" s="27"/>
      <c r="C9" s="29" t="s">
        <v>523</v>
      </c>
      <c r="D9" s="27"/>
    </row>
    <row r="10" spans="1:6" ht="12.75">
      <c r="A10" s="32"/>
      <c r="B10" s="229" t="s">
        <v>451</v>
      </c>
      <c r="C10" s="229"/>
      <c r="D10" s="229"/>
      <c r="E10" s="229"/>
      <c r="F10" s="229"/>
    </row>
    <row r="11" spans="1:11" ht="51">
      <c r="A11" s="91" t="s">
        <v>74</v>
      </c>
      <c r="B11" s="92" t="s">
        <v>75</v>
      </c>
      <c r="C11" s="93" t="s">
        <v>454</v>
      </c>
      <c r="D11" s="91" t="s">
        <v>455</v>
      </c>
      <c r="E11" s="231" t="s">
        <v>473</v>
      </c>
      <c r="F11" s="232"/>
      <c r="G11" s="232"/>
      <c r="H11" s="233"/>
      <c r="I11" s="94"/>
      <c r="J11" s="95" t="s">
        <v>462</v>
      </c>
      <c r="K11" s="95" t="s">
        <v>464</v>
      </c>
    </row>
    <row r="12" spans="1:11" ht="20.25" customHeight="1">
      <c r="A12" s="63" t="s">
        <v>0</v>
      </c>
      <c r="B12" s="63" t="s">
        <v>1</v>
      </c>
      <c r="C12" s="63" t="s">
        <v>470</v>
      </c>
      <c r="D12" s="63" t="s">
        <v>456</v>
      </c>
      <c r="E12" s="234">
        <f>E14+E22</f>
        <v>3355</v>
      </c>
      <c r="F12" s="235"/>
      <c r="G12" s="235"/>
      <c r="H12" s="236"/>
      <c r="I12" s="61"/>
      <c r="J12" s="62">
        <f>J14+J22</f>
        <v>3354.6000000000004</v>
      </c>
      <c r="K12" s="62">
        <f>J12/E12*100</f>
        <v>99.98807749627423</v>
      </c>
    </row>
    <row r="13" spans="1:11" ht="0.75" customHeight="1" hidden="1" thickBot="1">
      <c r="A13" s="63" t="s">
        <v>0</v>
      </c>
      <c r="B13" s="63" t="s">
        <v>1</v>
      </c>
      <c r="C13" s="59">
        <v>928</v>
      </c>
      <c r="D13" s="63" t="s">
        <v>79</v>
      </c>
      <c r="E13" s="63"/>
      <c r="F13" s="59"/>
      <c r="G13" s="59"/>
      <c r="H13" s="64">
        <f>E14+E22</f>
        <v>3355</v>
      </c>
      <c r="I13" s="61"/>
      <c r="J13" s="62">
        <f>J14+J22</f>
        <v>3354.6000000000004</v>
      </c>
      <c r="K13" s="62">
        <f>J13/H13*100</f>
        <v>99.98807749627423</v>
      </c>
    </row>
    <row r="14" spans="1:11" ht="46.5" customHeight="1">
      <c r="A14" s="63" t="s">
        <v>2</v>
      </c>
      <c r="B14" s="63" t="s">
        <v>3</v>
      </c>
      <c r="C14" s="82" t="str">
        <f>C12</f>
        <v>01</v>
      </c>
      <c r="D14" s="83" t="s">
        <v>457</v>
      </c>
      <c r="E14" s="234">
        <v>1263.3</v>
      </c>
      <c r="F14" s="235"/>
      <c r="G14" s="235"/>
      <c r="H14" s="236"/>
      <c r="I14" s="61"/>
      <c r="J14" s="219">
        <f>'Прил 2'!J15</f>
        <v>1263.2</v>
      </c>
      <c r="K14" s="62">
        <f>J14/E14*100</f>
        <v>99.99208422385816</v>
      </c>
    </row>
    <row r="15" spans="1:11" ht="12.75" hidden="1">
      <c r="A15" s="63" t="s">
        <v>4</v>
      </c>
      <c r="B15" s="63" t="s">
        <v>5</v>
      </c>
      <c r="C15" s="59">
        <v>928</v>
      </c>
      <c r="D15" s="63" t="s">
        <v>78</v>
      </c>
      <c r="E15" s="63" t="s">
        <v>165</v>
      </c>
      <c r="F15" s="59"/>
      <c r="G15" s="59"/>
      <c r="H15" s="64" t="e">
        <f>H16</f>
        <v>#REF!</v>
      </c>
      <c r="I15" s="61"/>
      <c r="J15" s="61"/>
      <c r="K15" s="62" t="e">
        <f>J15/H15*100</f>
        <v>#REF!</v>
      </c>
    </row>
    <row r="16" spans="1:11" ht="41.25" customHeight="1" hidden="1" thickBot="1">
      <c r="A16" s="63" t="s">
        <v>105</v>
      </c>
      <c r="B16" s="63" t="s">
        <v>104</v>
      </c>
      <c r="C16" s="59">
        <v>928</v>
      </c>
      <c r="D16" s="63" t="s">
        <v>78</v>
      </c>
      <c r="E16" s="63" t="s">
        <v>165</v>
      </c>
      <c r="F16" s="59">
        <v>100</v>
      </c>
      <c r="G16" s="59" t="s">
        <v>81</v>
      </c>
      <c r="H16" s="64" t="e">
        <f>#REF!</f>
        <v>#REF!</v>
      </c>
      <c r="I16" s="61"/>
      <c r="J16" s="61"/>
      <c r="K16" s="62" t="e">
        <f>J16/H16*100</f>
        <v>#REF!</v>
      </c>
    </row>
    <row r="17" spans="1:11" ht="33.75" hidden="1">
      <c r="A17" s="63"/>
      <c r="B17" s="63" t="s">
        <v>6</v>
      </c>
      <c r="C17" s="59">
        <v>928</v>
      </c>
      <c r="D17" s="63" t="s">
        <v>78</v>
      </c>
      <c r="E17" s="63" t="s">
        <v>165</v>
      </c>
      <c r="F17" s="59">
        <v>120</v>
      </c>
      <c r="G17" s="59"/>
      <c r="H17" s="64">
        <f>H18+H20</f>
        <v>1219.1</v>
      </c>
      <c r="I17" s="61"/>
      <c r="J17" s="61"/>
      <c r="K17" s="62"/>
    </row>
    <row r="18" spans="1:11" ht="22.5" hidden="1">
      <c r="A18" s="63"/>
      <c r="B18" s="63" t="s">
        <v>206</v>
      </c>
      <c r="C18" s="59">
        <v>928</v>
      </c>
      <c r="D18" s="63" t="s">
        <v>78</v>
      </c>
      <c r="E18" s="63" t="s">
        <v>165</v>
      </c>
      <c r="F18" s="59">
        <v>121</v>
      </c>
      <c r="G18" s="59"/>
      <c r="H18" s="64">
        <f>H19</f>
        <v>942.5</v>
      </c>
      <c r="I18" s="61"/>
      <c r="J18" s="61"/>
      <c r="K18" s="62"/>
    </row>
    <row r="19" spans="1:11" ht="12.75" hidden="1">
      <c r="A19" s="63"/>
      <c r="B19" s="63" t="s">
        <v>202</v>
      </c>
      <c r="C19" s="59">
        <v>928</v>
      </c>
      <c r="D19" s="63" t="s">
        <v>78</v>
      </c>
      <c r="E19" s="63" t="s">
        <v>165</v>
      </c>
      <c r="F19" s="59">
        <v>121</v>
      </c>
      <c r="G19" s="59">
        <v>211</v>
      </c>
      <c r="H19" s="64">
        <v>942.5</v>
      </c>
      <c r="I19" s="61"/>
      <c r="J19" s="61"/>
      <c r="K19" s="62"/>
    </row>
    <row r="20" spans="1:11" ht="67.5" hidden="1">
      <c r="A20" s="63"/>
      <c r="B20" s="63" t="s">
        <v>205</v>
      </c>
      <c r="C20" s="59">
        <v>928</v>
      </c>
      <c r="D20" s="63" t="s">
        <v>78</v>
      </c>
      <c r="E20" s="63" t="s">
        <v>165</v>
      </c>
      <c r="F20" s="59">
        <v>129</v>
      </c>
      <c r="G20" s="59"/>
      <c r="H20" s="64">
        <f>H21</f>
        <v>276.6</v>
      </c>
      <c r="I20" s="61"/>
      <c r="J20" s="61"/>
      <c r="K20" s="62"/>
    </row>
    <row r="21" spans="1:11" ht="22.5" hidden="1">
      <c r="A21" s="63"/>
      <c r="B21" s="63" t="s">
        <v>203</v>
      </c>
      <c r="C21" s="59">
        <v>928</v>
      </c>
      <c r="D21" s="63" t="s">
        <v>78</v>
      </c>
      <c r="E21" s="63" t="s">
        <v>165</v>
      </c>
      <c r="F21" s="59">
        <v>129</v>
      </c>
      <c r="G21" s="59">
        <v>213</v>
      </c>
      <c r="H21" s="64">
        <f>260.6+16</f>
        <v>276.6</v>
      </c>
      <c r="I21" s="61"/>
      <c r="J21" s="61"/>
      <c r="K21" s="62"/>
    </row>
    <row r="22" spans="1:11" ht="63.75" customHeight="1">
      <c r="A22" s="63" t="s">
        <v>7</v>
      </c>
      <c r="B22" s="59" t="s">
        <v>8</v>
      </c>
      <c r="C22" s="85" t="str">
        <f>C14</f>
        <v>01</v>
      </c>
      <c r="D22" s="63" t="s">
        <v>458</v>
      </c>
      <c r="E22" s="234">
        <v>2091.7</v>
      </c>
      <c r="F22" s="235"/>
      <c r="G22" s="235"/>
      <c r="H22" s="236"/>
      <c r="I22" s="61"/>
      <c r="J22" s="62">
        <f>'Прил 2'!J23</f>
        <v>2091.4</v>
      </c>
      <c r="K22" s="62">
        <f>J22/E22*100</f>
        <v>99.9856575990821</v>
      </c>
    </row>
    <row r="23" spans="1:11" ht="33.75" hidden="1">
      <c r="A23" s="63" t="s">
        <v>102</v>
      </c>
      <c r="B23" s="59" t="s">
        <v>10</v>
      </c>
      <c r="C23" s="85">
        <f aca="true" t="shared" si="0" ref="C23:C54">C15</f>
        <v>928</v>
      </c>
      <c r="D23" s="63" t="s">
        <v>80</v>
      </c>
      <c r="E23" s="63" t="s">
        <v>166</v>
      </c>
      <c r="F23" s="59"/>
      <c r="G23" s="59"/>
      <c r="H23" s="64" t="e">
        <f>#REF!</f>
        <v>#REF!</v>
      </c>
      <c r="I23" s="61"/>
      <c r="J23" s="62" t="e">
        <f>H23</f>
        <v>#REF!</v>
      </c>
      <c r="K23" s="62" t="e">
        <f>J23/H23*100</f>
        <v>#REF!</v>
      </c>
    </row>
    <row r="24" spans="1:11" ht="78.75" hidden="1">
      <c r="A24" s="63" t="s">
        <v>106</v>
      </c>
      <c r="B24" s="59" t="s">
        <v>104</v>
      </c>
      <c r="C24" s="85">
        <f t="shared" si="0"/>
        <v>928</v>
      </c>
      <c r="D24" s="63" t="s">
        <v>80</v>
      </c>
      <c r="E24" s="63" t="s">
        <v>166</v>
      </c>
      <c r="F24" s="59">
        <v>100</v>
      </c>
      <c r="G24" s="59"/>
      <c r="H24" s="64" t="e">
        <f>#REF!</f>
        <v>#REF!</v>
      </c>
      <c r="I24" s="61"/>
      <c r="J24" s="62" t="e">
        <f>H24</f>
        <v>#REF!</v>
      </c>
      <c r="K24" s="62" t="e">
        <f>J24/H24*100</f>
        <v>#REF!</v>
      </c>
    </row>
    <row r="25" spans="1:11" ht="33.75" hidden="1">
      <c r="A25" s="63"/>
      <c r="B25" s="63" t="s">
        <v>6</v>
      </c>
      <c r="C25" s="85">
        <f t="shared" si="0"/>
        <v>928</v>
      </c>
      <c r="D25" s="63" t="s">
        <v>80</v>
      </c>
      <c r="E25" s="63" t="s">
        <v>166</v>
      </c>
      <c r="F25" s="59">
        <v>120</v>
      </c>
      <c r="G25" s="59"/>
      <c r="H25" s="64">
        <f>H26</f>
        <v>280.8</v>
      </c>
      <c r="I25" s="61"/>
      <c r="J25" s="61"/>
      <c r="K25" s="62"/>
    </row>
    <row r="26" spans="1:11" ht="67.5" hidden="1">
      <c r="A26" s="63"/>
      <c r="B26" s="63" t="s">
        <v>231</v>
      </c>
      <c r="C26" s="85">
        <f t="shared" si="0"/>
        <v>928</v>
      </c>
      <c r="D26" s="63" t="s">
        <v>80</v>
      </c>
      <c r="E26" s="63" t="s">
        <v>166</v>
      </c>
      <c r="F26" s="59">
        <v>123</v>
      </c>
      <c r="G26" s="59"/>
      <c r="H26" s="64">
        <f>H27</f>
        <v>280.8</v>
      </c>
      <c r="I26" s="61"/>
      <c r="J26" s="61"/>
      <c r="K26" s="62"/>
    </row>
    <row r="27" spans="1:11" ht="12.75" hidden="1">
      <c r="A27" s="63"/>
      <c r="B27" s="63" t="s">
        <v>204</v>
      </c>
      <c r="C27" s="85">
        <f t="shared" si="0"/>
        <v>928</v>
      </c>
      <c r="D27" s="63" t="s">
        <v>80</v>
      </c>
      <c r="E27" s="63" t="s">
        <v>166</v>
      </c>
      <c r="F27" s="59">
        <v>123</v>
      </c>
      <c r="G27" s="59">
        <v>226</v>
      </c>
      <c r="H27" s="64">
        <f>285.8-5</f>
        <v>280.8</v>
      </c>
      <c r="I27" s="61"/>
      <c r="J27" s="61"/>
      <c r="K27" s="62">
        <v>2</v>
      </c>
    </row>
    <row r="28" spans="1:11" ht="22.5" hidden="1">
      <c r="A28" s="63" t="s">
        <v>9</v>
      </c>
      <c r="B28" s="59" t="s">
        <v>12</v>
      </c>
      <c r="C28" s="85">
        <f t="shared" si="0"/>
        <v>928</v>
      </c>
      <c r="D28" s="63" t="s">
        <v>80</v>
      </c>
      <c r="E28" s="63" t="s">
        <v>168</v>
      </c>
      <c r="F28" s="59"/>
      <c r="G28" s="59"/>
      <c r="H28" s="64" t="e">
        <f>#REF!</f>
        <v>#REF!</v>
      </c>
      <c r="I28" s="61"/>
      <c r="J28" s="61">
        <f>J29+J35</f>
        <v>1949</v>
      </c>
      <c r="K28" s="62" t="e">
        <f>J28/H28*100</f>
        <v>#REF!</v>
      </c>
    </row>
    <row r="29" spans="1:11" ht="78.75" hidden="1">
      <c r="A29" s="63" t="s">
        <v>11</v>
      </c>
      <c r="B29" s="59" t="s">
        <v>104</v>
      </c>
      <c r="C29" s="85">
        <f t="shared" si="0"/>
        <v>928</v>
      </c>
      <c r="D29" s="63" t="s">
        <v>80</v>
      </c>
      <c r="E29" s="63" t="s">
        <v>168</v>
      </c>
      <c r="F29" s="59">
        <v>100</v>
      </c>
      <c r="G29" s="59"/>
      <c r="H29" s="64" t="e">
        <f>#REF!</f>
        <v>#REF!</v>
      </c>
      <c r="I29" s="61"/>
      <c r="J29" s="61">
        <v>1572.5</v>
      </c>
      <c r="K29" s="62" t="e">
        <f>J29/H29*100</f>
        <v>#REF!</v>
      </c>
    </row>
    <row r="30" spans="1:11" ht="33.75" hidden="1">
      <c r="A30" s="63"/>
      <c r="B30" s="63" t="s">
        <v>6</v>
      </c>
      <c r="C30" s="85" t="str">
        <f t="shared" si="0"/>
        <v>01</v>
      </c>
      <c r="D30" s="63" t="s">
        <v>80</v>
      </c>
      <c r="E30" s="63" t="s">
        <v>168</v>
      </c>
      <c r="F30" s="59">
        <v>120</v>
      </c>
      <c r="G30" s="59"/>
      <c r="H30" s="64">
        <f>H31+H33</f>
        <v>1592.2</v>
      </c>
      <c r="I30" s="61"/>
      <c r="J30" s="61"/>
      <c r="K30" s="61"/>
    </row>
    <row r="31" spans="1:11" ht="22.5" hidden="1">
      <c r="A31" s="63"/>
      <c r="B31" s="63" t="s">
        <v>206</v>
      </c>
      <c r="C31" s="85">
        <f t="shared" si="0"/>
        <v>928</v>
      </c>
      <c r="D31" s="63" t="s">
        <v>80</v>
      </c>
      <c r="E31" s="63" t="s">
        <v>168</v>
      </c>
      <c r="F31" s="59">
        <v>121</v>
      </c>
      <c r="G31" s="59"/>
      <c r="H31" s="64">
        <f>H32</f>
        <v>1166</v>
      </c>
      <c r="I31" s="61"/>
      <c r="J31" s="61"/>
      <c r="K31" s="61"/>
    </row>
    <row r="32" spans="1:11" ht="12.75" hidden="1">
      <c r="A32" s="63"/>
      <c r="B32" s="63" t="s">
        <v>202</v>
      </c>
      <c r="C32" s="85">
        <f t="shared" si="0"/>
        <v>928</v>
      </c>
      <c r="D32" s="63" t="s">
        <v>80</v>
      </c>
      <c r="E32" s="63" t="s">
        <v>168</v>
      </c>
      <c r="F32" s="59">
        <v>121</v>
      </c>
      <c r="G32" s="59">
        <v>211</v>
      </c>
      <c r="H32" s="64">
        <f>1093.3+72.7</f>
        <v>1166</v>
      </c>
      <c r="I32" s="61"/>
      <c r="J32" s="61"/>
      <c r="K32" s="61"/>
    </row>
    <row r="33" spans="1:11" ht="67.5" hidden="1">
      <c r="A33" s="63"/>
      <c r="B33" s="63" t="s">
        <v>205</v>
      </c>
      <c r="C33" s="85">
        <f t="shared" si="0"/>
        <v>928</v>
      </c>
      <c r="D33" s="63" t="s">
        <v>80</v>
      </c>
      <c r="E33" s="63" t="s">
        <v>168</v>
      </c>
      <c r="F33" s="59">
        <v>129</v>
      </c>
      <c r="G33" s="59"/>
      <c r="H33" s="64">
        <f>H34</f>
        <v>426.2</v>
      </c>
      <c r="I33" s="61"/>
      <c r="J33" s="61"/>
      <c r="K33" s="61"/>
    </row>
    <row r="34" spans="1:11" ht="22.5" hidden="1">
      <c r="A34" s="63"/>
      <c r="B34" s="63" t="s">
        <v>203</v>
      </c>
      <c r="C34" s="85">
        <f t="shared" si="0"/>
        <v>928</v>
      </c>
      <c r="D34" s="63" t="s">
        <v>80</v>
      </c>
      <c r="E34" s="63" t="s">
        <v>168</v>
      </c>
      <c r="F34" s="59">
        <v>129</v>
      </c>
      <c r="G34" s="59">
        <v>213</v>
      </c>
      <c r="H34" s="64">
        <f>330.2+22+74</f>
        <v>426.2</v>
      </c>
      <c r="I34" s="61"/>
      <c r="J34" s="61"/>
      <c r="K34" s="61"/>
    </row>
    <row r="35" spans="1:11" ht="33.75" hidden="1">
      <c r="A35" s="63" t="s">
        <v>200</v>
      </c>
      <c r="B35" s="59" t="s">
        <v>24</v>
      </c>
      <c r="C35" s="85">
        <f t="shared" si="0"/>
        <v>928</v>
      </c>
      <c r="D35" s="63" t="s">
        <v>80</v>
      </c>
      <c r="E35" s="63" t="s">
        <v>168</v>
      </c>
      <c r="F35" s="59">
        <v>200</v>
      </c>
      <c r="G35" s="59"/>
      <c r="H35" s="64" t="e">
        <f>#REF!</f>
        <v>#REF!</v>
      </c>
      <c r="I35" s="61"/>
      <c r="J35" s="61">
        <v>376.5</v>
      </c>
      <c r="K35" s="61"/>
    </row>
    <row r="36" spans="1:11" ht="33.75" hidden="1">
      <c r="A36" s="63"/>
      <c r="B36" s="59" t="s">
        <v>107</v>
      </c>
      <c r="C36" s="85">
        <f t="shared" si="0"/>
        <v>928</v>
      </c>
      <c r="D36" s="63" t="s">
        <v>80</v>
      </c>
      <c r="E36" s="63" t="s">
        <v>168</v>
      </c>
      <c r="F36" s="59">
        <v>240</v>
      </c>
      <c r="G36" s="59"/>
      <c r="H36" s="64">
        <f>H37+H39</f>
        <v>364.29999999999995</v>
      </c>
      <c r="I36" s="61"/>
      <c r="J36" s="61"/>
      <c r="K36" s="61"/>
    </row>
    <row r="37" spans="1:11" ht="33.75" hidden="1">
      <c r="A37" s="63"/>
      <c r="B37" s="59" t="s">
        <v>198</v>
      </c>
      <c r="C37" s="85">
        <f t="shared" si="0"/>
        <v>928</v>
      </c>
      <c r="D37" s="63" t="s">
        <v>80</v>
      </c>
      <c r="E37" s="63" t="s">
        <v>168</v>
      </c>
      <c r="F37" s="59">
        <v>242</v>
      </c>
      <c r="G37" s="59"/>
      <c r="H37" s="64">
        <f>H38</f>
        <v>34</v>
      </c>
      <c r="I37" s="61"/>
      <c r="J37" s="61"/>
      <c r="K37" s="61"/>
    </row>
    <row r="38" spans="1:11" ht="12.75" hidden="1">
      <c r="A38" s="63"/>
      <c r="B38" s="59" t="s">
        <v>207</v>
      </c>
      <c r="C38" s="85" t="str">
        <f t="shared" si="0"/>
        <v>01</v>
      </c>
      <c r="D38" s="63" t="s">
        <v>80</v>
      </c>
      <c r="E38" s="63" t="s">
        <v>168</v>
      </c>
      <c r="F38" s="59">
        <v>242</v>
      </c>
      <c r="G38" s="59">
        <v>221</v>
      </c>
      <c r="H38" s="64">
        <f>200-166</f>
        <v>34</v>
      </c>
      <c r="I38" s="61"/>
      <c r="J38" s="61"/>
      <c r="K38" s="61"/>
    </row>
    <row r="39" spans="1:11" ht="45" hidden="1">
      <c r="A39" s="63"/>
      <c r="B39" s="59" t="s">
        <v>195</v>
      </c>
      <c r="C39" s="85">
        <f t="shared" si="0"/>
        <v>928</v>
      </c>
      <c r="D39" s="63" t="s">
        <v>80</v>
      </c>
      <c r="E39" s="63" t="s">
        <v>168</v>
      </c>
      <c r="F39" s="59">
        <v>244</v>
      </c>
      <c r="G39" s="59"/>
      <c r="H39" s="65">
        <f>H40+H41+H42+H43+H44</f>
        <v>330.29999999999995</v>
      </c>
      <c r="I39" s="61"/>
      <c r="J39" s="61"/>
      <c r="K39" s="61"/>
    </row>
    <row r="40" spans="1:11" ht="12.75" hidden="1">
      <c r="A40" s="63"/>
      <c r="B40" s="59" t="s">
        <v>208</v>
      </c>
      <c r="C40" s="85">
        <f t="shared" si="0"/>
        <v>928</v>
      </c>
      <c r="D40" s="63" t="s">
        <v>80</v>
      </c>
      <c r="E40" s="63" t="s">
        <v>168</v>
      </c>
      <c r="F40" s="59">
        <v>244</v>
      </c>
      <c r="G40" s="59">
        <v>223</v>
      </c>
      <c r="H40" s="65">
        <f>114+21.2</f>
        <v>135.2</v>
      </c>
      <c r="I40" s="61"/>
      <c r="J40" s="61"/>
      <c r="K40" s="61"/>
    </row>
    <row r="41" spans="1:11" ht="22.5" hidden="1">
      <c r="A41" s="63"/>
      <c r="B41" s="59" t="s">
        <v>209</v>
      </c>
      <c r="C41" s="85">
        <f t="shared" si="0"/>
        <v>928</v>
      </c>
      <c r="D41" s="63" t="s">
        <v>80</v>
      </c>
      <c r="E41" s="63" t="s">
        <v>168</v>
      </c>
      <c r="F41" s="59">
        <v>244</v>
      </c>
      <c r="G41" s="59">
        <v>225</v>
      </c>
      <c r="H41" s="65">
        <f>30+99.2</f>
        <v>129.2</v>
      </c>
      <c r="I41" s="61"/>
      <c r="J41" s="61"/>
      <c r="K41" s="61"/>
    </row>
    <row r="42" spans="1:11" ht="12.75" hidden="1">
      <c r="A42" s="63"/>
      <c r="B42" s="59" t="s">
        <v>204</v>
      </c>
      <c r="C42" s="85">
        <f t="shared" si="0"/>
        <v>928</v>
      </c>
      <c r="D42" s="63" t="s">
        <v>80</v>
      </c>
      <c r="E42" s="63" t="s">
        <v>168</v>
      </c>
      <c r="F42" s="59">
        <v>244</v>
      </c>
      <c r="G42" s="59">
        <v>226</v>
      </c>
      <c r="H42" s="65">
        <f>56+54-45.6</f>
        <v>64.4</v>
      </c>
      <c r="I42" s="61"/>
      <c r="J42" s="61"/>
      <c r="K42" s="61"/>
    </row>
    <row r="43" spans="1:11" ht="22.5" hidden="1">
      <c r="A43" s="63"/>
      <c r="B43" s="59" t="s">
        <v>214</v>
      </c>
      <c r="C43" s="85">
        <f t="shared" si="0"/>
        <v>928</v>
      </c>
      <c r="D43" s="63" t="s">
        <v>80</v>
      </c>
      <c r="E43" s="63" t="s">
        <v>168</v>
      </c>
      <c r="F43" s="59">
        <v>244</v>
      </c>
      <c r="G43" s="59">
        <v>310</v>
      </c>
      <c r="H43" s="65">
        <f>20-18.5</f>
        <v>1.5</v>
      </c>
      <c r="I43" s="61"/>
      <c r="J43" s="61"/>
      <c r="K43" s="61"/>
    </row>
    <row r="44" spans="1:11" ht="22.5" hidden="1">
      <c r="A44" s="63"/>
      <c r="B44" s="59" t="s">
        <v>213</v>
      </c>
      <c r="C44" s="85">
        <f t="shared" si="0"/>
        <v>928</v>
      </c>
      <c r="D44" s="63" t="s">
        <v>80</v>
      </c>
      <c r="E44" s="63" t="s">
        <v>168</v>
      </c>
      <c r="F44" s="59">
        <v>244</v>
      </c>
      <c r="G44" s="59">
        <v>340</v>
      </c>
      <c r="H44" s="65">
        <f>100+4.5-104.5</f>
        <v>0</v>
      </c>
      <c r="I44" s="61"/>
      <c r="J44" s="61"/>
      <c r="K44" s="61">
        <v>2</v>
      </c>
    </row>
    <row r="45" spans="1:11" ht="22.5" hidden="1">
      <c r="A45" s="63" t="s">
        <v>103</v>
      </c>
      <c r="B45" s="59" t="s">
        <v>13</v>
      </c>
      <c r="C45" s="85">
        <f t="shared" si="0"/>
        <v>928</v>
      </c>
      <c r="D45" s="63" t="s">
        <v>80</v>
      </c>
      <c r="E45" s="63" t="s">
        <v>167</v>
      </c>
      <c r="F45" s="59"/>
      <c r="G45" s="59"/>
      <c r="H45" s="64" t="e">
        <f>#REF!</f>
        <v>#REF!</v>
      </c>
      <c r="I45" s="61"/>
      <c r="J45" s="62">
        <f>J46</f>
        <v>72.6</v>
      </c>
      <c r="K45" s="61"/>
    </row>
    <row r="46" spans="1:11" ht="12.75" hidden="1">
      <c r="A46" s="63" t="s">
        <v>210</v>
      </c>
      <c r="B46" s="59" t="s">
        <v>108</v>
      </c>
      <c r="C46" s="85" t="str">
        <f t="shared" si="0"/>
        <v>01</v>
      </c>
      <c r="D46" s="63" t="s">
        <v>80</v>
      </c>
      <c r="E46" s="63" t="s">
        <v>167</v>
      </c>
      <c r="F46" s="59">
        <v>800</v>
      </c>
      <c r="G46" s="59"/>
      <c r="H46" s="64">
        <f>H47</f>
        <v>72.7</v>
      </c>
      <c r="I46" s="61"/>
      <c r="J46" s="62">
        <f>J47</f>
        <v>72.6</v>
      </c>
      <c r="K46" s="61"/>
    </row>
    <row r="47" spans="1:11" ht="22.5" hidden="1">
      <c r="A47" s="63"/>
      <c r="B47" s="59" t="s">
        <v>14</v>
      </c>
      <c r="C47" s="85">
        <f t="shared" si="0"/>
        <v>928</v>
      </c>
      <c r="D47" s="63" t="s">
        <v>80</v>
      </c>
      <c r="E47" s="63" t="s">
        <v>167</v>
      </c>
      <c r="F47" s="59">
        <v>850</v>
      </c>
      <c r="G47" s="59"/>
      <c r="H47" s="64">
        <f>H48+H50-2.1</f>
        <v>72.7</v>
      </c>
      <c r="I47" s="61"/>
      <c r="J47" s="62">
        <v>72.6</v>
      </c>
      <c r="K47" s="61"/>
    </row>
    <row r="48" spans="1:11" ht="22.5" hidden="1">
      <c r="A48" s="63"/>
      <c r="B48" s="59" t="s">
        <v>242</v>
      </c>
      <c r="C48" s="85">
        <f t="shared" si="0"/>
        <v>928</v>
      </c>
      <c r="D48" s="63" t="s">
        <v>80</v>
      </c>
      <c r="E48" s="63" t="s">
        <v>167</v>
      </c>
      <c r="F48" s="59">
        <v>851</v>
      </c>
      <c r="G48" s="59"/>
      <c r="H48" s="64">
        <f>H49</f>
        <v>0.5</v>
      </c>
      <c r="I48" s="61"/>
      <c r="J48" s="61"/>
      <c r="K48" s="61"/>
    </row>
    <row r="49" spans="1:11" ht="12.75" hidden="1">
      <c r="A49" s="63"/>
      <c r="B49" s="59" t="s">
        <v>199</v>
      </c>
      <c r="C49" s="85">
        <f t="shared" si="0"/>
        <v>928</v>
      </c>
      <c r="D49" s="63" t="s">
        <v>80</v>
      </c>
      <c r="E49" s="63" t="s">
        <v>167</v>
      </c>
      <c r="F49" s="59">
        <v>851</v>
      </c>
      <c r="G49" s="59">
        <v>290</v>
      </c>
      <c r="H49" s="64">
        <v>0.5</v>
      </c>
      <c r="I49" s="61"/>
      <c r="J49" s="61"/>
      <c r="K49" s="61">
        <v>2</v>
      </c>
    </row>
    <row r="50" spans="1:11" ht="12.75" hidden="1">
      <c r="A50" s="63"/>
      <c r="B50" s="59" t="s">
        <v>211</v>
      </c>
      <c r="C50" s="85">
        <f t="shared" si="0"/>
        <v>928</v>
      </c>
      <c r="D50" s="63" t="s">
        <v>80</v>
      </c>
      <c r="E50" s="63" t="s">
        <v>167</v>
      </c>
      <c r="F50" s="59">
        <v>853</v>
      </c>
      <c r="G50" s="59"/>
      <c r="H50" s="64">
        <f>H51</f>
        <v>74.3</v>
      </c>
      <c r="I50" s="61"/>
      <c r="J50" s="61"/>
      <c r="K50" s="61"/>
    </row>
    <row r="51" spans="1:11" ht="12.75" hidden="1">
      <c r="A51" s="63"/>
      <c r="B51" s="59" t="s">
        <v>199</v>
      </c>
      <c r="C51" s="85">
        <f t="shared" si="0"/>
        <v>928</v>
      </c>
      <c r="D51" s="63" t="s">
        <v>80</v>
      </c>
      <c r="E51" s="63" t="s">
        <v>167</v>
      </c>
      <c r="F51" s="59">
        <v>853</v>
      </c>
      <c r="G51" s="59">
        <v>290</v>
      </c>
      <c r="H51" s="64">
        <v>74.3</v>
      </c>
      <c r="I51" s="61"/>
      <c r="J51" s="61"/>
      <c r="K51" s="61"/>
    </row>
    <row r="52" spans="1:11" ht="45" hidden="1">
      <c r="A52" s="63"/>
      <c r="B52" s="59" t="s">
        <v>253</v>
      </c>
      <c r="C52" s="85">
        <f t="shared" si="0"/>
        <v>928</v>
      </c>
      <c r="D52" s="63"/>
      <c r="E52" s="63"/>
      <c r="F52" s="59"/>
      <c r="G52" s="59"/>
      <c r="H52" s="84" t="e">
        <f>H53+E188+E202+E270+E277+E290+E306+E316</f>
        <v>#REF!</v>
      </c>
      <c r="I52" s="61"/>
      <c r="J52" s="61"/>
      <c r="K52" s="61"/>
    </row>
    <row r="53" spans="1:11" ht="12.75" hidden="1">
      <c r="A53" s="63" t="s">
        <v>219</v>
      </c>
      <c r="B53" s="59" t="s">
        <v>1</v>
      </c>
      <c r="C53" s="85">
        <f t="shared" si="0"/>
        <v>928</v>
      </c>
      <c r="D53" s="63" t="s">
        <v>79</v>
      </c>
      <c r="E53" s="63"/>
      <c r="F53" s="59"/>
      <c r="G53" s="59"/>
      <c r="H53" s="64" t="e">
        <f>E55+H121+E126</f>
        <v>#REF!</v>
      </c>
      <c r="I53" s="61"/>
      <c r="J53" s="62">
        <f>J55+J126</f>
        <v>25108.800000000003</v>
      </c>
      <c r="K53" s="61"/>
    </row>
    <row r="54" spans="1:11" ht="12.75">
      <c r="A54" s="63" t="s">
        <v>219</v>
      </c>
      <c r="B54" s="63" t="s">
        <v>1</v>
      </c>
      <c r="C54" s="85" t="str">
        <f t="shared" si="0"/>
        <v>01</v>
      </c>
      <c r="D54" s="63" t="s">
        <v>456</v>
      </c>
      <c r="E54" s="237">
        <f>E55+E126+E187</f>
        <v>28707.100000000002</v>
      </c>
      <c r="F54" s="238"/>
      <c r="G54" s="125"/>
      <c r="H54" s="100"/>
      <c r="I54" s="61"/>
      <c r="J54" s="62">
        <f>J55+J126+J187</f>
        <v>28706.000000000004</v>
      </c>
      <c r="K54" s="61"/>
    </row>
    <row r="55" spans="1:11" ht="67.5">
      <c r="A55" s="63" t="s">
        <v>15</v>
      </c>
      <c r="B55" s="59" t="s">
        <v>16</v>
      </c>
      <c r="C55" s="85" t="str">
        <f>C22</f>
        <v>01</v>
      </c>
      <c r="D55" s="63" t="s">
        <v>459</v>
      </c>
      <c r="E55" s="234">
        <v>25109.7</v>
      </c>
      <c r="F55" s="235"/>
      <c r="G55" s="235"/>
      <c r="H55" s="236"/>
      <c r="I55" s="61"/>
      <c r="J55" s="62">
        <f>'Прил 2'!J50</f>
        <v>25108.800000000003</v>
      </c>
      <c r="K55" s="62">
        <f>J55/E55*100</f>
        <v>99.99641572778648</v>
      </c>
    </row>
    <row r="56" spans="1:11" ht="12.75" hidden="1">
      <c r="A56" s="63" t="s">
        <v>17</v>
      </c>
      <c r="B56" s="59" t="s">
        <v>18</v>
      </c>
      <c r="C56" s="59">
        <v>966</v>
      </c>
      <c r="D56" s="63" t="s">
        <v>83</v>
      </c>
      <c r="E56" s="66" t="s">
        <v>169</v>
      </c>
      <c r="F56" s="66"/>
      <c r="G56" s="66"/>
      <c r="H56" s="66" t="e">
        <f>#REF!</f>
        <v>#REF!</v>
      </c>
      <c r="I56" s="61"/>
      <c r="J56" s="61">
        <f>J57</f>
        <v>1175.7</v>
      </c>
      <c r="K56" s="62">
        <f aca="true" t="shared" si="1" ref="K56:K119">J56/E56*100</f>
        <v>0.005878490888339124</v>
      </c>
    </row>
    <row r="57" spans="1:11" ht="78.75" hidden="1">
      <c r="A57" s="63" t="s">
        <v>19</v>
      </c>
      <c r="B57" s="59" t="s">
        <v>104</v>
      </c>
      <c r="C57" s="59">
        <v>966</v>
      </c>
      <c r="D57" s="63" t="s">
        <v>83</v>
      </c>
      <c r="E57" s="66" t="s">
        <v>169</v>
      </c>
      <c r="F57" s="66">
        <v>100</v>
      </c>
      <c r="G57" s="66"/>
      <c r="H57" s="66" t="e">
        <f>#REF!</f>
        <v>#REF!</v>
      </c>
      <c r="I57" s="61"/>
      <c r="J57" s="61">
        <v>1175.7</v>
      </c>
      <c r="K57" s="62">
        <f t="shared" si="1"/>
        <v>0.005878490888339124</v>
      </c>
    </row>
    <row r="58" spans="1:11" ht="33.75" hidden="1">
      <c r="A58" s="63"/>
      <c r="B58" s="63" t="s">
        <v>6</v>
      </c>
      <c r="C58" s="59">
        <v>966</v>
      </c>
      <c r="D58" s="63" t="s">
        <v>83</v>
      </c>
      <c r="E58" s="66" t="s">
        <v>169</v>
      </c>
      <c r="F58" s="66">
        <v>120</v>
      </c>
      <c r="G58" s="66"/>
      <c r="H58" s="66">
        <f>H59+H61</f>
        <v>1203.1</v>
      </c>
      <c r="I58" s="61"/>
      <c r="J58" s="61"/>
      <c r="K58" s="62">
        <f t="shared" si="1"/>
        <v>0</v>
      </c>
    </row>
    <row r="59" spans="1:11" ht="22.5" hidden="1">
      <c r="A59" s="63"/>
      <c r="B59" s="63" t="s">
        <v>206</v>
      </c>
      <c r="C59" s="59">
        <v>966</v>
      </c>
      <c r="D59" s="63" t="s">
        <v>83</v>
      </c>
      <c r="E59" s="66" t="s">
        <v>169</v>
      </c>
      <c r="F59" s="66">
        <v>121</v>
      </c>
      <c r="G59" s="66"/>
      <c r="H59" s="66">
        <f>H60</f>
        <v>942.5</v>
      </c>
      <c r="I59" s="61"/>
      <c r="J59" s="61"/>
      <c r="K59" s="62">
        <f t="shared" si="1"/>
        <v>0</v>
      </c>
    </row>
    <row r="60" spans="1:11" ht="12.75" hidden="1">
      <c r="A60" s="63"/>
      <c r="B60" s="63" t="s">
        <v>202</v>
      </c>
      <c r="C60" s="59">
        <v>966</v>
      </c>
      <c r="D60" s="63" t="s">
        <v>83</v>
      </c>
      <c r="E60" s="66" t="s">
        <v>169</v>
      </c>
      <c r="F60" s="66">
        <v>121</v>
      </c>
      <c r="G60" s="66">
        <v>211</v>
      </c>
      <c r="H60" s="66">
        <v>942.5</v>
      </c>
      <c r="I60" s="61"/>
      <c r="J60" s="61"/>
      <c r="K60" s="62">
        <f t="shared" si="1"/>
        <v>0</v>
      </c>
    </row>
    <row r="61" spans="1:11" ht="67.5" hidden="1">
      <c r="A61" s="63"/>
      <c r="B61" s="63" t="s">
        <v>205</v>
      </c>
      <c r="C61" s="59">
        <v>966</v>
      </c>
      <c r="D61" s="63" t="s">
        <v>83</v>
      </c>
      <c r="E61" s="66" t="s">
        <v>169</v>
      </c>
      <c r="F61" s="66">
        <v>129</v>
      </c>
      <c r="G61" s="66"/>
      <c r="H61" s="66">
        <f>H62</f>
        <v>260.6</v>
      </c>
      <c r="I61" s="61"/>
      <c r="J61" s="61"/>
      <c r="K61" s="62">
        <f t="shared" si="1"/>
        <v>0</v>
      </c>
    </row>
    <row r="62" spans="1:11" ht="22.5" hidden="1">
      <c r="A62" s="63"/>
      <c r="B62" s="63" t="s">
        <v>203</v>
      </c>
      <c r="C62" s="59">
        <v>966</v>
      </c>
      <c r="D62" s="63" t="s">
        <v>83</v>
      </c>
      <c r="E62" s="66" t="s">
        <v>169</v>
      </c>
      <c r="F62" s="66">
        <v>129</v>
      </c>
      <c r="G62" s="66">
        <v>213</v>
      </c>
      <c r="H62" s="66">
        <v>260.6</v>
      </c>
      <c r="I62" s="61"/>
      <c r="J62" s="61"/>
      <c r="K62" s="62">
        <f t="shared" si="1"/>
        <v>0</v>
      </c>
    </row>
    <row r="63" spans="1:11" ht="45" hidden="1">
      <c r="A63" s="63" t="s">
        <v>20</v>
      </c>
      <c r="B63" s="59" t="s">
        <v>21</v>
      </c>
      <c r="C63" s="59">
        <v>966</v>
      </c>
      <c r="D63" s="63" t="s">
        <v>83</v>
      </c>
      <c r="E63" s="66" t="s">
        <v>170</v>
      </c>
      <c r="F63" s="66"/>
      <c r="G63" s="66"/>
      <c r="H63" s="66" t="e">
        <f>#REF!</f>
        <v>#REF!</v>
      </c>
      <c r="I63" s="61"/>
      <c r="J63" s="61">
        <f>J64+J73+J88</f>
        <v>23225.6</v>
      </c>
      <c r="K63" s="62">
        <f t="shared" si="1"/>
        <v>0.11612781419549727</v>
      </c>
    </row>
    <row r="64" spans="1:11" ht="78.75" hidden="1">
      <c r="A64" s="63" t="s">
        <v>22</v>
      </c>
      <c r="B64" s="59" t="s">
        <v>104</v>
      </c>
      <c r="C64" s="59">
        <v>966</v>
      </c>
      <c r="D64" s="63" t="s">
        <v>83</v>
      </c>
      <c r="E64" s="66" t="s">
        <v>170</v>
      </c>
      <c r="F64" s="66">
        <v>100</v>
      </c>
      <c r="G64" s="66"/>
      <c r="H64" s="66" t="e">
        <f>#REF!</f>
        <v>#REF!</v>
      </c>
      <c r="I64" s="61"/>
      <c r="J64" s="61">
        <v>19537</v>
      </c>
      <c r="K64" s="62">
        <f t="shared" si="1"/>
        <v>0.09768484370425007</v>
      </c>
    </row>
    <row r="65" spans="1:11" ht="33.75" hidden="1">
      <c r="A65" s="63"/>
      <c r="B65" s="63" t="s">
        <v>6</v>
      </c>
      <c r="C65" s="59">
        <v>966</v>
      </c>
      <c r="D65" s="63" t="s">
        <v>83</v>
      </c>
      <c r="E65" s="66" t="s">
        <v>170</v>
      </c>
      <c r="F65" s="66">
        <v>120</v>
      </c>
      <c r="G65" s="66"/>
      <c r="H65" s="66">
        <f>H66+H68+H71</f>
        <v>19987.300000000003</v>
      </c>
      <c r="I65" s="61"/>
      <c r="J65" s="61"/>
      <c r="K65" s="62">
        <f t="shared" si="1"/>
        <v>0</v>
      </c>
    </row>
    <row r="66" spans="1:11" ht="22.5" hidden="1">
      <c r="A66" s="63"/>
      <c r="B66" s="63" t="s">
        <v>206</v>
      </c>
      <c r="C66" s="59">
        <v>966</v>
      </c>
      <c r="D66" s="63" t="s">
        <v>83</v>
      </c>
      <c r="E66" s="66" t="s">
        <v>170</v>
      </c>
      <c r="F66" s="66">
        <v>121</v>
      </c>
      <c r="G66" s="66"/>
      <c r="H66" s="66">
        <f>H67</f>
        <v>15247.4</v>
      </c>
      <c r="I66" s="61"/>
      <c r="J66" s="61"/>
      <c r="K66" s="62">
        <f t="shared" si="1"/>
        <v>0</v>
      </c>
    </row>
    <row r="67" spans="1:11" ht="12.75" hidden="1">
      <c r="A67" s="63"/>
      <c r="B67" s="63" t="s">
        <v>202</v>
      </c>
      <c r="C67" s="59">
        <v>966</v>
      </c>
      <c r="D67" s="63" t="s">
        <v>83</v>
      </c>
      <c r="E67" s="66" t="s">
        <v>170</v>
      </c>
      <c r="F67" s="66">
        <v>121</v>
      </c>
      <c r="G67" s="66">
        <v>211</v>
      </c>
      <c r="H67" s="66">
        <f>16221.4-58.8-915.2</f>
        <v>15247.4</v>
      </c>
      <c r="I67" s="61"/>
      <c r="J67" s="61"/>
      <c r="K67" s="62">
        <f t="shared" si="1"/>
        <v>0</v>
      </c>
    </row>
    <row r="68" spans="1:11" ht="45" hidden="1">
      <c r="A68" s="63"/>
      <c r="B68" s="63" t="s">
        <v>240</v>
      </c>
      <c r="C68" s="59">
        <v>966</v>
      </c>
      <c r="D68" s="63" t="s">
        <v>83</v>
      </c>
      <c r="E68" s="66" t="s">
        <v>170</v>
      </c>
      <c r="F68" s="66">
        <v>122</v>
      </c>
      <c r="G68" s="66"/>
      <c r="H68" s="66">
        <f>H69+H70</f>
        <v>135.2</v>
      </c>
      <c r="I68" s="61"/>
      <c r="J68" s="61"/>
      <c r="K68" s="62">
        <f t="shared" si="1"/>
        <v>0</v>
      </c>
    </row>
    <row r="69" spans="1:11" ht="12.75" hidden="1">
      <c r="A69" s="63"/>
      <c r="B69" s="63" t="s">
        <v>239</v>
      </c>
      <c r="C69" s="59">
        <v>966</v>
      </c>
      <c r="D69" s="63" t="s">
        <v>83</v>
      </c>
      <c r="E69" s="66" t="s">
        <v>170</v>
      </c>
      <c r="F69" s="66">
        <v>122</v>
      </c>
      <c r="G69" s="66">
        <v>212</v>
      </c>
      <c r="H69" s="66">
        <v>0.1</v>
      </c>
      <c r="I69" s="61"/>
      <c r="J69" s="61"/>
      <c r="K69" s="62">
        <f t="shared" si="1"/>
        <v>0</v>
      </c>
    </row>
    <row r="70" spans="1:11" ht="12.75" hidden="1">
      <c r="A70" s="63"/>
      <c r="B70" s="63" t="s">
        <v>212</v>
      </c>
      <c r="C70" s="59">
        <v>966</v>
      </c>
      <c r="D70" s="63" t="s">
        <v>83</v>
      </c>
      <c r="E70" s="66" t="s">
        <v>170</v>
      </c>
      <c r="F70" s="66">
        <v>122</v>
      </c>
      <c r="G70" s="66">
        <v>222</v>
      </c>
      <c r="H70" s="66">
        <f>220-84.9</f>
        <v>135.1</v>
      </c>
      <c r="I70" s="61" t="s">
        <v>241</v>
      </c>
      <c r="J70" s="61"/>
      <c r="K70" s="62">
        <f t="shared" si="1"/>
        <v>0</v>
      </c>
    </row>
    <row r="71" spans="1:11" ht="67.5" hidden="1">
      <c r="A71" s="63"/>
      <c r="B71" s="63" t="s">
        <v>205</v>
      </c>
      <c r="C71" s="59">
        <v>966</v>
      </c>
      <c r="D71" s="63" t="s">
        <v>83</v>
      </c>
      <c r="E71" s="66" t="s">
        <v>170</v>
      </c>
      <c r="F71" s="66">
        <v>129</v>
      </c>
      <c r="G71" s="66"/>
      <c r="H71" s="66">
        <f>H72</f>
        <v>4604.700000000001</v>
      </c>
      <c r="I71" s="61"/>
      <c r="J71" s="61"/>
      <c r="K71" s="62">
        <f t="shared" si="1"/>
        <v>0</v>
      </c>
    </row>
    <row r="72" spans="1:11" ht="22.5" hidden="1">
      <c r="A72" s="63"/>
      <c r="B72" s="63" t="s">
        <v>203</v>
      </c>
      <c r="C72" s="59">
        <v>966</v>
      </c>
      <c r="D72" s="63" t="s">
        <v>83</v>
      </c>
      <c r="E72" s="66" t="s">
        <v>170</v>
      </c>
      <c r="F72" s="66">
        <v>129</v>
      </c>
      <c r="G72" s="66">
        <v>213</v>
      </c>
      <c r="H72" s="66">
        <f>4892.5-11.4-5.2-271.2</f>
        <v>4604.700000000001</v>
      </c>
      <c r="I72" s="61"/>
      <c r="J72" s="61"/>
      <c r="K72" s="62">
        <f t="shared" si="1"/>
        <v>0</v>
      </c>
    </row>
    <row r="73" spans="1:11" ht="33.75" hidden="1">
      <c r="A73" s="63" t="s">
        <v>23</v>
      </c>
      <c r="B73" s="59" t="s">
        <v>24</v>
      </c>
      <c r="C73" s="59">
        <v>966</v>
      </c>
      <c r="D73" s="63" t="s">
        <v>83</v>
      </c>
      <c r="E73" s="66" t="s">
        <v>170</v>
      </c>
      <c r="F73" s="66">
        <v>200</v>
      </c>
      <c r="G73" s="66"/>
      <c r="H73" s="66" t="e">
        <f>#REF!</f>
        <v>#REF!</v>
      </c>
      <c r="I73" s="61"/>
      <c r="J73" s="61">
        <v>3639</v>
      </c>
      <c r="K73" s="62">
        <f t="shared" si="1"/>
        <v>0.01819497088804658</v>
      </c>
    </row>
    <row r="74" spans="1:11" ht="33.75" hidden="1">
      <c r="A74" s="63"/>
      <c r="B74" s="59" t="s">
        <v>107</v>
      </c>
      <c r="C74" s="59">
        <v>966</v>
      </c>
      <c r="D74" s="63" t="s">
        <v>83</v>
      </c>
      <c r="E74" s="66" t="s">
        <v>170</v>
      </c>
      <c r="F74" s="66">
        <v>240</v>
      </c>
      <c r="G74" s="66"/>
      <c r="H74" s="66">
        <f>H75+H80</f>
        <v>4048.1000000000004</v>
      </c>
      <c r="I74" s="61"/>
      <c r="J74" s="61"/>
      <c r="K74" s="62">
        <f t="shared" si="1"/>
        <v>0</v>
      </c>
    </row>
    <row r="75" spans="1:11" ht="33.75" hidden="1">
      <c r="A75" s="63"/>
      <c r="B75" s="59" t="s">
        <v>198</v>
      </c>
      <c r="C75" s="59">
        <v>966</v>
      </c>
      <c r="D75" s="63" t="s">
        <v>83</v>
      </c>
      <c r="E75" s="66" t="s">
        <v>170</v>
      </c>
      <c r="F75" s="66">
        <v>242</v>
      </c>
      <c r="G75" s="66"/>
      <c r="H75" s="66">
        <f>H76+H77+H78+H79</f>
        <v>806.9999999999999</v>
      </c>
      <c r="I75" s="61"/>
      <c r="J75" s="61"/>
      <c r="K75" s="62">
        <f t="shared" si="1"/>
        <v>0</v>
      </c>
    </row>
    <row r="76" spans="1:11" ht="12.75" hidden="1">
      <c r="A76" s="63"/>
      <c r="B76" s="59" t="s">
        <v>207</v>
      </c>
      <c r="C76" s="59">
        <v>966</v>
      </c>
      <c r="D76" s="63" t="s">
        <v>83</v>
      </c>
      <c r="E76" s="66" t="s">
        <v>170</v>
      </c>
      <c r="F76" s="66">
        <v>242</v>
      </c>
      <c r="G76" s="66">
        <v>221</v>
      </c>
      <c r="H76" s="66">
        <f>188.5+174.9-37</f>
        <v>326.4</v>
      </c>
      <c r="I76" s="61"/>
      <c r="J76" s="61"/>
      <c r="K76" s="62">
        <f t="shared" si="1"/>
        <v>0</v>
      </c>
    </row>
    <row r="77" spans="1:11" ht="12.75" hidden="1">
      <c r="A77" s="63"/>
      <c r="B77" s="59" t="s">
        <v>204</v>
      </c>
      <c r="C77" s="59">
        <v>966</v>
      </c>
      <c r="D77" s="63" t="s">
        <v>83</v>
      </c>
      <c r="E77" s="66" t="s">
        <v>170</v>
      </c>
      <c r="F77" s="66">
        <v>242</v>
      </c>
      <c r="G77" s="66">
        <v>226</v>
      </c>
      <c r="H77" s="66">
        <f>500+22-47.3</f>
        <v>474.7</v>
      </c>
      <c r="I77" s="61"/>
      <c r="J77" s="61"/>
      <c r="K77" s="62">
        <f t="shared" si="1"/>
        <v>0</v>
      </c>
    </row>
    <row r="78" spans="1:11" ht="22.5" hidden="1">
      <c r="A78" s="63"/>
      <c r="B78" s="59" t="s">
        <v>214</v>
      </c>
      <c r="C78" s="59">
        <v>966</v>
      </c>
      <c r="D78" s="63" t="s">
        <v>83</v>
      </c>
      <c r="E78" s="66" t="s">
        <v>170</v>
      </c>
      <c r="F78" s="66">
        <v>242</v>
      </c>
      <c r="G78" s="66">
        <v>310</v>
      </c>
      <c r="H78" s="66">
        <f>50-46.2</f>
        <v>3.799999999999997</v>
      </c>
      <c r="I78" s="61"/>
      <c r="J78" s="61"/>
      <c r="K78" s="62">
        <f t="shared" si="1"/>
        <v>0</v>
      </c>
    </row>
    <row r="79" spans="1:11" ht="22.5" hidden="1">
      <c r="A79" s="63"/>
      <c r="B79" s="59" t="s">
        <v>213</v>
      </c>
      <c r="C79" s="59">
        <v>966</v>
      </c>
      <c r="D79" s="63" t="s">
        <v>83</v>
      </c>
      <c r="E79" s="66" t="s">
        <v>170</v>
      </c>
      <c r="F79" s="66">
        <v>242</v>
      </c>
      <c r="G79" s="66">
        <v>340</v>
      </c>
      <c r="H79" s="66">
        <f>100-97.9</f>
        <v>2.0999999999999943</v>
      </c>
      <c r="I79" s="61"/>
      <c r="J79" s="61"/>
      <c r="K79" s="62">
        <f t="shared" si="1"/>
        <v>0</v>
      </c>
    </row>
    <row r="80" spans="1:11" ht="45" hidden="1">
      <c r="A80" s="63"/>
      <c r="B80" s="59" t="s">
        <v>195</v>
      </c>
      <c r="C80" s="59">
        <v>966</v>
      </c>
      <c r="D80" s="63" t="s">
        <v>83</v>
      </c>
      <c r="E80" s="66" t="s">
        <v>170</v>
      </c>
      <c r="F80" s="66">
        <v>244</v>
      </c>
      <c r="G80" s="66"/>
      <c r="H80" s="66">
        <f>SUM(H81:H87)</f>
        <v>3241.1000000000004</v>
      </c>
      <c r="I80" s="61"/>
      <c r="J80" s="61"/>
      <c r="K80" s="62">
        <f t="shared" si="1"/>
        <v>0</v>
      </c>
    </row>
    <row r="81" spans="1:11" ht="12.75" hidden="1">
      <c r="A81" s="63"/>
      <c r="B81" s="59" t="s">
        <v>207</v>
      </c>
      <c r="C81" s="59">
        <v>966</v>
      </c>
      <c r="D81" s="63" t="s">
        <v>83</v>
      </c>
      <c r="E81" s="66" t="s">
        <v>170</v>
      </c>
      <c r="F81" s="66">
        <v>244</v>
      </c>
      <c r="G81" s="66">
        <v>221</v>
      </c>
      <c r="H81" s="66">
        <f>161+439-100-136.5</f>
        <v>363.5</v>
      </c>
      <c r="I81" s="61"/>
      <c r="J81" s="61"/>
      <c r="K81" s="62">
        <f t="shared" si="1"/>
        <v>0</v>
      </c>
    </row>
    <row r="82" spans="1:11" ht="12.75" hidden="1">
      <c r="A82" s="63"/>
      <c r="B82" s="59" t="s">
        <v>212</v>
      </c>
      <c r="C82" s="59">
        <v>966</v>
      </c>
      <c r="D82" s="63" t="s">
        <v>83</v>
      </c>
      <c r="E82" s="66" t="s">
        <v>170</v>
      </c>
      <c r="F82" s="66">
        <v>244</v>
      </c>
      <c r="G82" s="66">
        <v>222</v>
      </c>
      <c r="H82" s="66">
        <f>290.6+29.4-220-88</f>
        <v>12</v>
      </c>
      <c r="I82" s="61" t="s">
        <v>241</v>
      </c>
      <c r="J82" s="61"/>
      <c r="K82" s="62">
        <f t="shared" si="1"/>
        <v>0</v>
      </c>
    </row>
    <row r="83" spans="1:11" ht="12.75" hidden="1">
      <c r="A83" s="63"/>
      <c r="B83" s="59" t="s">
        <v>208</v>
      </c>
      <c r="C83" s="59">
        <v>966</v>
      </c>
      <c r="D83" s="63" t="s">
        <v>83</v>
      </c>
      <c r="E83" s="66" t="s">
        <v>170</v>
      </c>
      <c r="F83" s="66">
        <v>244</v>
      </c>
      <c r="G83" s="66">
        <v>223</v>
      </c>
      <c r="H83" s="66">
        <f>100-50</f>
        <v>50</v>
      </c>
      <c r="I83" s="61"/>
      <c r="J83" s="61"/>
      <c r="K83" s="62">
        <f t="shared" si="1"/>
        <v>0</v>
      </c>
    </row>
    <row r="84" spans="1:11" ht="22.5" hidden="1">
      <c r="A84" s="63"/>
      <c r="B84" s="59" t="s">
        <v>209</v>
      </c>
      <c r="C84" s="59">
        <v>966</v>
      </c>
      <c r="D84" s="63" t="s">
        <v>83</v>
      </c>
      <c r="E84" s="66" t="s">
        <v>170</v>
      </c>
      <c r="F84" s="66">
        <v>244</v>
      </c>
      <c r="G84" s="66">
        <v>225</v>
      </c>
      <c r="H84" s="66">
        <f>98.4+100.1+1000+68.4+100</f>
        <v>1366.9</v>
      </c>
      <c r="I84" s="61"/>
      <c r="J84" s="61"/>
      <c r="K84" s="62">
        <f t="shared" si="1"/>
        <v>0</v>
      </c>
    </row>
    <row r="85" spans="1:11" ht="12.75" hidden="1">
      <c r="A85" s="63"/>
      <c r="B85" s="59" t="s">
        <v>204</v>
      </c>
      <c r="C85" s="59">
        <v>966</v>
      </c>
      <c r="D85" s="63" t="s">
        <v>83</v>
      </c>
      <c r="E85" s="66" t="s">
        <v>170</v>
      </c>
      <c r="F85" s="66">
        <v>244</v>
      </c>
      <c r="G85" s="66">
        <v>226</v>
      </c>
      <c r="H85" s="66">
        <f>922.4-492.9-39.7</f>
        <v>389.8</v>
      </c>
      <c r="I85" s="61"/>
      <c r="J85" s="61"/>
      <c r="K85" s="62">
        <f t="shared" si="1"/>
        <v>0</v>
      </c>
    </row>
    <row r="86" spans="1:11" ht="22.5" hidden="1">
      <c r="A86" s="63"/>
      <c r="B86" s="59" t="s">
        <v>214</v>
      </c>
      <c r="C86" s="59">
        <v>966</v>
      </c>
      <c r="D86" s="63" t="s">
        <v>83</v>
      </c>
      <c r="E86" s="66" t="s">
        <v>170</v>
      </c>
      <c r="F86" s="66">
        <v>244</v>
      </c>
      <c r="G86" s="66">
        <v>310</v>
      </c>
      <c r="H86" s="66">
        <f>202.4-172.4+3430.1-25.6-300-190-200-2000-68.4-515</f>
        <v>161.10000000000002</v>
      </c>
      <c r="I86" s="61"/>
      <c r="J86" s="61"/>
      <c r="K86" s="62">
        <f t="shared" si="1"/>
        <v>0</v>
      </c>
    </row>
    <row r="87" spans="1:11" ht="22.5" hidden="1">
      <c r="A87" s="63"/>
      <c r="B87" s="59" t="s">
        <v>213</v>
      </c>
      <c r="C87" s="59">
        <v>966</v>
      </c>
      <c r="D87" s="63" t="s">
        <v>83</v>
      </c>
      <c r="E87" s="66" t="s">
        <v>170</v>
      </c>
      <c r="F87" s="66">
        <v>244</v>
      </c>
      <c r="G87" s="66">
        <v>340</v>
      </c>
      <c r="H87" s="66">
        <f>224.2+165.8+200+237.8+70</f>
        <v>897.8</v>
      </c>
      <c r="I87" s="61"/>
      <c r="J87" s="61"/>
      <c r="K87" s="62">
        <f t="shared" si="1"/>
        <v>0</v>
      </c>
    </row>
    <row r="88" spans="1:11" ht="12.75" hidden="1">
      <c r="A88" s="63" t="s">
        <v>218</v>
      </c>
      <c r="B88" s="59" t="s">
        <v>108</v>
      </c>
      <c r="C88" s="59">
        <v>966</v>
      </c>
      <c r="D88" s="63" t="s">
        <v>83</v>
      </c>
      <c r="E88" s="66" t="s">
        <v>170</v>
      </c>
      <c r="F88" s="66">
        <v>800</v>
      </c>
      <c r="G88" s="66"/>
      <c r="H88" s="66" t="e">
        <f>#REF!</f>
        <v>#REF!</v>
      </c>
      <c r="I88" s="61"/>
      <c r="J88" s="61">
        <v>49.6</v>
      </c>
      <c r="K88" s="62">
        <f t="shared" si="1"/>
        <v>0.0002479996032006349</v>
      </c>
    </row>
    <row r="89" spans="1:11" ht="12.75" hidden="1">
      <c r="A89" s="63"/>
      <c r="B89" s="61" t="s">
        <v>96</v>
      </c>
      <c r="C89" s="59">
        <v>966</v>
      </c>
      <c r="D89" s="63" t="s">
        <v>83</v>
      </c>
      <c r="E89" s="66" t="s">
        <v>170</v>
      </c>
      <c r="F89" s="66">
        <v>830</v>
      </c>
      <c r="G89" s="66"/>
      <c r="H89" s="66">
        <f>H90</f>
        <v>100</v>
      </c>
      <c r="I89" s="61"/>
      <c r="J89" s="61"/>
      <c r="K89" s="62">
        <f t="shared" si="1"/>
        <v>0</v>
      </c>
    </row>
    <row r="90" spans="1:11" ht="123.75" hidden="1">
      <c r="A90" s="63"/>
      <c r="B90" s="66" t="s">
        <v>201</v>
      </c>
      <c r="C90" s="59">
        <v>966</v>
      </c>
      <c r="D90" s="63" t="s">
        <v>83</v>
      </c>
      <c r="E90" s="66" t="s">
        <v>170</v>
      </c>
      <c r="F90" s="66">
        <v>831</v>
      </c>
      <c r="G90" s="66"/>
      <c r="H90" s="66">
        <f>H91</f>
        <v>100</v>
      </c>
      <c r="I90" s="61"/>
      <c r="J90" s="61"/>
      <c r="K90" s="62">
        <f t="shared" si="1"/>
        <v>0</v>
      </c>
    </row>
    <row r="91" spans="1:11" ht="12.75" hidden="1">
      <c r="A91" s="63"/>
      <c r="B91" s="59" t="s">
        <v>199</v>
      </c>
      <c r="C91" s="59">
        <v>966</v>
      </c>
      <c r="D91" s="63" t="s">
        <v>83</v>
      </c>
      <c r="E91" s="66" t="s">
        <v>170</v>
      </c>
      <c r="F91" s="66">
        <v>831</v>
      </c>
      <c r="G91" s="66">
        <v>290</v>
      </c>
      <c r="H91" s="66">
        <v>100</v>
      </c>
      <c r="I91" s="61"/>
      <c r="J91" s="61"/>
      <c r="K91" s="62">
        <f t="shared" si="1"/>
        <v>0</v>
      </c>
    </row>
    <row r="92" spans="1:11" ht="22.5" hidden="1">
      <c r="A92" s="63" t="s">
        <v>226</v>
      </c>
      <c r="B92" s="59" t="s">
        <v>14</v>
      </c>
      <c r="C92" s="59">
        <v>966</v>
      </c>
      <c r="D92" s="63" t="s">
        <v>83</v>
      </c>
      <c r="E92" s="66" t="s">
        <v>170</v>
      </c>
      <c r="F92" s="66">
        <v>850</v>
      </c>
      <c r="G92" s="66"/>
      <c r="H92" s="66">
        <f>H95+H93</f>
        <v>2.3</v>
      </c>
      <c r="I92" s="61"/>
      <c r="J92" s="61"/>
      <c r="K92" s="62">
        <f t="shared" si="1"/>
        <v>0</v>
      </c>
    </row>
    <row r="93" spans="1:11" ht="22.5" hidden="1">
      <c r="A93" s="63"/>
      <c r="B93" s="59" t="s">
        <v>242</v>
      </c>
      <c r="C93" s="59">
        <v>966</v>
      </c>
      <c r="D93" s="63" t="s">
        <v>83</v>
      </c>
      <c r="E93" s="66" t="s">
        <v>170</v>
      </c>
      <c r="F93" s="66">
        <v>851</v>
      </c>
      <c r="G93" s="66"/>
      <c r="H93" s="66">
        <f>H94</f>
        <v>0.3</v>
      </c>
      <c r="I93" s="61"/>
      <c r="J93" s="61"/>
      <c r="K93" s="62">
        <f t="shared" si="1"/>
        <v>0</v>
      </c>
    </row>
    <row r="94" spans="1:11" ht="12.75" hidden="1">
      <c r="A94" s="63"/>
      <c r="B94" s="59" t="s">
        <v>199</v>
      </c>
      <c r="C94" s="59">
        <v>966</v>
      </c>
      <c r="D94" s="63" t="s">
        <v>83</v>
      </c>
      <c r="E94" s="66" t="s">
        <v>170</v>
      </c>
      <c r="F94" s="66">
        <v>851</v>
      </c>
      <c r="G94" s="66">
        <v>290</v>
      </c>
      <c r="H94" s="66">
        <v>0.3</v>
      </c>
      <c r="I94" s="61"/>
      <c r="J94" s="61"/>
      <c r="K94" s="62">
        <f t="shared" si="1"/>
        <v>0</v>
      </c>
    </row>
    <row r="95" spans="1:11" ht="12.75" hidden="1">
      <c r="A95" s="63"/>
      <c r="B95" s="66" t="s">
        <v>211</v>
      </c>
      <c r="C95" s="59">
        <v>966</v>
      </c>
      <c r="D95" s="63" t="s">
        <v>83</v>
      </c>
      <c r="E95" s="66" t="s">
        <v>170</v>
      </c>
      <c r="F95" s="66">
        <v>853</v>
      </c>
      <c r="G95" s="66"/>
      <c r="H95" s="66">
        <f>H96</f>
        <v>2</v>
      </c>
      <c r="I95" s="61"/>
      <c r="J95" s="61"/>
      <c r="K95" s="62">
        <f t="shared" si="1"/>
        <v>0</v>
      </c>
    </row>
    <row r="96" spans="1:11" ht="12.75" hidden="1">
      <c r="A96" s="63"/>
      <c r="B96" s="59" t="s">
        <v>199</v>
      </c>
      <c r="C96" s="59">
        <v>966</v>
      </c>
      <c r="D96" s="63" t="s">
        <v>83</v>
      </c>
      <c r="E96" s="66" t="s">
        <v>170</v>
      </c>
      <c r="F96" s="66">
        <v>853</v>
      </c>
      <c r="G96" s="66">
        <v>290</v>
      </c>
      <c r="H96" s="181">
        <f>1+1</f>
        <v>2</v>
      </c>
      <c r="I96" s="61"/>
      <c r="J96" s="61"/>
      <c r="K96" s="62">
        <f t="shared" si="1"/>
        <v>0</v>
      </c>
    </row>
    <row r="97" spans="1:11" ht="67.5" hidden="1">
      <c r="A97" s="63" t="s">
        <v>220</v>
      </c>
      <c r="B97" s="67" t="s">
        <v>130</v>
      </c>
      <c r="C97" s="59">
        <v>966</v>
      </c>
      <c r="D97" s="63" t="s">
        <v>83</v>
      </c>
      <c r="E97" s="66" t="s">
        <v>223</v>
      </c>
      <c r="F97" s="66"/>
      <c r="G97" s="66"/>
      <c r="H97" s="66" t="e">
        <f>#REF!</f>
        <v>#REF!</v>
      </c>
      <c r="I97" s="61"/>
      <c r="J97" s="61">
        <f>J98</f>
        <v>6</v>
      </c>
      <c r="K97" s="62" t="e">
        <f t="shared" si="1"/>
        <v>#VALUE!</v>
      </c>
    </row>
    <row r="98" spans="1:11" ht="33.75" hidden="1">
      <c r="A98" s="63" t="s">
        <v>221</v>
      </c>
      <c r="B98" s="59" t="s">
        <v>24</v>
      </c>
      <c r="C98" s="59">
        <v>966</v>
      </c>
      <c r="D98" s="63" t="s">
        <v>83</v>
      </c>
      <c r="E98" s="66" t="s">
        <v>223</v>
      </c>
      <c r="F98" s="66">
        <v>200</v>
      </c>
      <c r="G98" s="66"/>
      <c r="H98" s="66">
        <f>H99</f>
        <v>6</v>
      </c>
      <c r="I98" s="61"/>
      <c r="J98" s="61">
        <v>6</v>
      </c>
      <c r="K98" s="62" t="e">
        <f t="shared" si="1"/>
        <v>#VALUE!</v>
      </c>
    </row>
    <row r="99" spans="1:11" ht="33.75" hidden="1">
      <c r="A99" s="63"/>
      <c r="B99" s="59" t="s">
        <v>107</v>
      </c>
      <c r="C99" s="59">
        <v>966</v>
      </c>
      <c r="D99" s="63" t="s">
        <v>83</v>
      </c>
      <c r="E99" s="66" t="s">
        <v>223</v>
      </c>
      <c r="F99" s="66">
        <v>240</v>
      </c>
      <c r="G99" s="66"/>
      <c r="H99" s="66">
        <f>H100</f>
        <v>6</v>
      </c>
      <c r="I99" s="61"/>
      <c r="J99" s="61"/>
      <c r="K99" s="62" t="e">
        <f t="shared" si="1"/>
        <v>#VALUE!</v>
      </c>
    </row>
    <row r="100" spans="1:11" ht="45" hidden="1">
      <c r="A100" s="63"/>
      <c r="B100" s="59" t="s">
        <v>195</v>
      </c>
      <c r="C100" s="59">
        <v>966</v>
      </c>
      <c r="D100" s="63" t="s">
        <v>83</v>
      </c>
      <c r="E100" s="66" t="s">
        <v>223</v>
      </c>
      <c r="F100" s="66">
        <v>244</v>
      </c>
      <c r="G100" s="66"/>
      <c r="H100" s="66">
        <f>H101</f>
        <v>6</v>
      </c>
      <c r="I100" s="61"/>
      <c r="J100" s="61"/>
      <c r="K100" s="62" t="e">
        <f t="shared" si="1"/>
        <v>#VALUE!</v>
      </c>
    </row>
    <row r="101" spans="1:11" ht="22.5" hidden="1">
      <c r="A101" s="63"/>
      <c r="B101" s="59" t="s">
        <v>213</v>
      </c>
      <c r="C101" s="59">
        <v>966</v>
      </c>
      <c r="D101" s="63" t="s">
        <v>83</v>
      </c>
      <c r="E101" s="66" t="s">
        <v>223</v>
      </c>
      <c r="F101" s="66">
        <v>244</v>
      </c>
      <c r="G101" s="66">
        <v>340</v>
      </c>
      <c r="H101" s="66">
        <v>6</v>
      </c>
      <c r="I101" s="61"/>
      <c r="J101" s="61"/>
      <c r="K101" s="62" t="e">
        <f t="shared" si="1"/>
        <v>#VALUE!</v>
      </c>
    </row>
    <row r="102" spans="1:11" ht="78.75" hidden="1">
      <c r="A102" s="63" t="s">
        <v>94</v>
      </c>
      <c r="B102" s="59" t="s">
        <v>123</v>
      </c>
      <c r="C102" s="59"/>
      <c r="D102" s="63" t="s">
        <v>83</v>
      </c>
      <c r="E102" s="66" t="s">
        <v>224</v>
      </c>
      <c r="F102" s="66"/>
      <c r="G102" s="66"/>
      <c r="H102" s="66" t="e">
        <f>#REF!</f>
        <v>#REF!</v>
      </c>
      <c r="I102" s="61"/>
      <c r="J102" s="62" t="e">
        <f>J103+J112</f>
        <v>#REF!</v>
      </c>
      <c r="K102" s="62" t="e">
        <f t="shared" si="1"/>
        <v>#REF!</v>
      </c>
    </row>
    <row r="103" spans="1:11" ht="78.75" hidden="1">
      <c r="A103" s="63" t="s">
        <v>95</v>
      </c>
      <c r="B103" s="59" t="s">
        <v>104</v>
      </c>
      <c r="C103" s="59">
        <v>966</v>
      </c>
      <c r="D103" s="63" t="s">
        <v>83</v>
      </c>
      <c r="E103" s="66" t="s">
        <v>224</v>
      </c>
      <c r="F103" s="66">
        <v>100</v>
      </c>
      <c r="G103" s="66"/>
      <c r="H103" s="66" t="e">
        <f>#REF!</f>
        <v>#REF!</v>
      </c>
      <c r="I103" s="61"/>
      <c r="J103" s="62" t="e">
        <f>H103</f>
        <v>#REF!</v>
      </c>
      <c r="K103" s="62" t="e">
        <f t="shared" si="1"/>
        <v>#REF!</v>
      </c>
    </row>
    <row r="104" spans="1:11" ht="33.75" hidden="1">
      <c r="A104" s="63"/>
      <c r="B104" s="63" t="s">
        <v>6</v>
      </c>
      <c r="C104" s="59">
        <v>966</v>
      </c>
      <c r="D104" s="63" t="s">
        <v>83</v>
      </c>
      <c r="E104" s="66" t="s">
        <v>224</v>
      </c>
      <c r="F104" s="66">
        <v>120</v>
      </c>
      <c r="G104" s="66"/>
      <c r="H104" s="66">
        <f>H105+H107+H110</f>
        <v>3888.5</v>
      </c>
      <c r="I104" s="61"/>
      <c r="J104" s="61"/>
      <c r="K104" s="62" t="e">
        <f t="shared" si="1"/>
        <v>#VALUE!</v>
      </c>
    </row>
    <row r="105" spans="1:11" ht="22.5" hidden="1">
      <c r="A105" s="63"/>
      <c r="B105" s="63" t="s">
        <v>206</v>
      </c>
      <c r="C105" s="59">
        <v>966</v>
      </c>
      <c r="D105" s="63" t="s">
        <v>83</v>
      </c>
      <c r="E105" s="66" t="s">
        <v>224</v>
      </c>
      <c r="F105" s="66">
        <v>121</v>
      </c>
      <c r="G105" s="66"/>
      <c r="H105" s="66">
        <f>H106</f>
        <v>2940.6</v>
      </c>
      <c r="I105" s="61"/>
      <c r="J105" s="61"/>
      <c r="K105" s="62" t="e">
        <f t="shared" si="1"/>
        <v>#VALUE!</v>
      </c>
    </row>
    <row r="106" spans="1:11" ht="12.75" hidden="1">
      <c r="A106" s="63"/>
      <c r="B106" s="63" t="s">
        <v>202</v>
      </c>
      <c r="C106" s="59">
        <v>966</v>
      </c>
      <c r="D106" s="63" t="s">
        <v>83</v>
      </c>
      <c r="E106" s="66" t="s">
        <v>224</v>
      </c>
      <c r="F106" s="66">
        <v>121</v>
      </c>
      <c r="G106" s="66">
        <v>211</v>
      </c>
      <c r="H106" s="66">
        <v>2940.6</v>
      </c>
      <c r="I106" s="61"/>
      <c r="J106" s="61"/>
      <c r="K106" s="62" t="e">
        <f t="shared" si="1"/>
        <v>#VALUE!</v>
      </c>
    </row>
    <row r="107" spans="1:11" ht="45" hidden="1">
      <c r="A107" s="63"/>
      <c r="B107" s="63" t="s">
        <v>240</v>
      </c>
      <c r="C107" s="59">
        <v>966</v>
      </c>
      <c r="D107" s="63" t="s">
        <v>83</v>
      </c>
      <c r="E107" s="66" t="s">
        <v>224</v>
      </c>
      <c r="F107" s="66">
        <v>122</v>
      </c>
      <c r="G107" s="66"/>
      <c r="H107" s="66">
        <f>SUM(H108:H109)</f>
        <v>59.800000000000004</v>
      </c>
      <c r="I107" s="61" t="s">
        <v>241</v>
      </c>
      <c r="J107" s="61"/>
      <c r="K107" s="62" t="e">
        <f t="shared" si="1"/>
        <v>#VALUE!</v>
      </c>
    </row>
    <row r="108" spans="1:11" ht="12.75" hidden="1">
      <c r="A108" s="63"/>
      <c r="B108" s="63" t="s">
        <v>239</v>
      </c>
      <c r="C108" s="59">
        <v>966</v>
      </c>
      <c r="D108" s="63" t="s">
        <v>83</v>
      </c>
      <c r="E108" s="66" t="s">
        <v>224</v>
      </c>
      <c r="F108" s="66">
        <v>122</v>
      </c>
      <c r="G108" s="66">
        <v>212</v>
      </c>
      <c r="H108" s="66">
        <v>0.2</v>
      </c>
      <c r="I108" s="61" t="s">
        <v>241</v>
      </c>
      <c r="J108" s="61"/>
      <c r="K108" s="62" t="e">
        <f t="shared" si="1"/>
        <v>#VALUE!</v>
      </c>
    </row>
    <row r="109" spans="1:11" ht="12.75" hidden="1">
      <c r="A109" s="63"/>
      <c r="B109" s="63" t="s">
        <v>212</v>
      </c>
      <c r="C109" s="59">
        <v>966</v>
      </c>
      <c r="D109" s="63" t="s">
        <v>83</v>
      </c>
      <c r="E109" s="66" t="s">
        <v>224</v>
      </c>
      <c r="F109" s="66">
        <v>122</v>
      </c>
      <c r="G109" s="66">
        <v>222</v>
      </c>
      <c r="H109" s="66">
        <f>80-20.4</f>
        <v>59.6</v>
      </c>
      <c r="I109" s="61" t="s">
        <v>241</v>
      </c>
      <c r="J109" s="61"/>
      <c r="K109" s="62" t="e">
        <f t="shared" si="1"/>
        <v>#VALUE!</v>
      </c>
    </row>
    <row r="110" spans="1:11" ht="67.5" hidden="1">
      <c r="A110" s="63"/>
      <c r="B110" s="63" t="s">
        <v>205</v>
      </c>
      <c r="C110" s="59">
        <v>966</v>
      </c>
      <c r="D110" s="63" t="s">
        <v>83</v>
      </c>
      <c r="E110" s="66" t="s">
        <v>224</v>
      </c>
      <c r="F110" s="66">
        <v>129</v>
      </c>
      <c r="G110" s="66"/>
      <c r="H110" s="66">
        <f>H111</f>
        <v>888.1</v>
      </c>
      <c r="I110" s="61"/>
      <c r="J110" s="61"/>
      <c r="K110" s="62" t="e">
        <f t="shared" si="1"/>
        <v>#VALUE!</v>
      </c>
    </row>
    <row r="111" spans="1:11" ht="22.5" hidden="1">
      <c r="A111" s="63"/>
      <c r="B111" s="63" t="s">
        <v>203</v>
      </c>
      <c r="C111" s="59">
        <v>966</v>
      </c>
      <c r="D111" s="63" t="s">
        <v>83</v>
      </c>
      <c r="E111" s="66" t="s">
        <v>224</v>
      </c>
      <c r="F111" s="66">
        <v>129</v>
      </c>
      <c r="G111" s="66">
        <v>213</v>
      </c>
      <c r="H111" s="66">
        <v>888.1</v>
      </c>
      <c r="I111" s="61"/>
      <c r="J111" s="61"/>
      <c r="K111" s="62" t="e">
        <f t="shared" si="1"/>
        <v>#VALUE!</v>
      </c>
    </row>
    <row r="112" spans="1:11" ht="38.25" customHeight="1" hidden="1" thickBot="1">
      <c r="A112" s="63" t="s">
        <v>222</v>
      </c>
      <c r="B112" s="59" t="s">
        <v>24</v>
      </c>
      <c r="C112" s="59">
        <v>966</v>
      </c>
      <c r="D112" s="63" t="s">
        <v>83</v>
      </c>
      <c r="E112" s="66" t="s">
        <v>224</v>
      </c>
      <c r="F112" s="66">
        <v>200</v>
      </c>
      <c r="G112" s="66"/>
      <c r="H112" s="66" t="e">
        <f>#REF!</f>
        <v>#REF!</v>
      </c>
      <c r="I112" s="61"/>
      <c r="J112" s="62" t="e">
        <f>H112</f>
        <v>#REF!</v>
      </c>
      <c r="K112" s="62" t="e">
        <f t="shared" si="1"/>
        <v>#REF!</v>
      </c>
    </row>
    <row r="113" spans="1:11" ht="33.75" hidden="1">
      <c r="A113" s="63"/>
      <c r="B113" s="59" t="s">
        <v>107</v>
      </c>
      <c r="C113" s="59">
        <v>966</v>
      </c>
      <c r="D113" s="63" t="s">
        <v>83</v>
      </c>
      <c r="E113" s="66" t="s">
        <v>224</v>
      </c>
      <c r="F113" s="66">
        <v>240</v>
      </c>
      <c r="G113" s="66"/>
      <c r="H113" s="66">
        <f>H114+H116</f>
        <v>217.7</v>
      </c>
      <c r="I113" s="61"/>
      <c r="J113" s="61"/>
      <c r="K113" s="62" t="e">
        <f t="shared" si="1"/>
        <v>#VALUE!</v>
      </c>
    </row>
    <row r="114" spans="1:11" ht="33.75" hidden="1">
      <c r="A114" s="63"/>
      <c r="B114" s="59" t="s">
        <v>198</v>
      </c>
      <c r="C114" s="59">
        <v>966</v>
      </c>
      <c r="D114" s="63" t="s">
        <v>83</v>
      </c>
      <c r="E114" s="66" t="s">
        <v>224</v>
      </c>
      <c r="F114" s="66">
        <v>242</v>
      </c>
      <c r="G114" s="66"/>
      <c r="H114" s="181">
        <f>SUM(H115:H115)</f>
        <v>90</v>
      </c>
      <c r="I114" s="61"/>
      <c r="J114" s="61"/>
      <c r="K114" s="62" t="e">
        <f t="shared" si="1"/>
        <v>#VALUE!</v>
      </c>
    </row>
    <row r="115" spans="1:11" ht="12.75" hidden="1">
      <c r="A115" s="63"/>
      <c r="B115" s="59" t="s">
        <v>207</v>
      </c>
      <c r="C115" s="59">
        <v>966</v>
      </c>
      <c r="D115" s="63" t="s">
        <v>83</v>
      </c>
      <c r="E115" s="66" t="s">
        <v>224</v>
      </c>
      <c r="F115" s="66">
        <v>242</v>
      </c>
      <c r="G115" s="66">
        <v>221</v>
      </c>
      <c r="H115" s="181">
        <f>87+3</f>
        <v>90</v>
      </c>
      <c r="I115" s="61"/>
      <c r="J115" s="61"/>
      <c r="K115" s="62" t="e">
        <f t="shared" si="1"/>
        <v>#VALUE!</v>
      </c>
    </row>
    <row r="116" spans="1:11" ht="45" hidden="1">
      <c r="A116" s="63"/>
      <c r="B116" s="59" t="s">
        <v>195</v>
      </c>
      <c r="C116" s="59">
        <v>966</v>
      </c>
      <c r="D116" s="63" t="s">
        <v>83</v>
      </c>
      <c r="E116" s="66" t="s">
        <v>224</v>
      </c>
      <c r="F116" s="66">
        <v>244</v>
      </c>
      <c r="G116" s="66"/>
      <c r="H116" s="181">
        <f>SUM(H117:H120)</f>
        <v>127.7</v>
      </c>
      <c r="I116" s="61"/>
      <c r="J116" s="61"/>
      <c r="K116" s="62" t="e">
        <f t="shared" si="1"/>
        <v>#VALUE!</v>
      </c>
    </row>
    <row r="117" spans="1:11" ht="12.75" hidden="1">
      <c r="A117" s="63"/>
      <c r="B117" s="59" t="s">
        <v>207</v>
      </c>
      <c r="C117" s="59">
        <v>966</v>
      </c>
      <c r="D117" s="63" t="s">
        <v>83</v>
      </c>
      <c r="E117" s="66" t="s">
        <v>224</v>
      </c>
      <c r="F117" s="66">
        <v>244</v>
      </c>
      <c r="G117" s="66">
        <v>221</v>
      </c>
      <c r="H117" s="181">
        <v>0</v>
      </c>
      <c r="I117" s="61"/>
      <c r="J117" s="61"/>
      <c r="K117" s="62" t="e">
        <f t="shared" si="1"/>
        <v>#VALUE!</v>
      </c>
    </row>
    <row r="118" spans="1:11" ht="12.75" hidden="1">
      <c r="A118" s="63"/>
      <c r="B118" s="59" t="s">
        <v>212</v>
      </c>
      <c r="C118" s="59">
        <v>966</v>
      </c>
      <c r="D118" s="63" t="s">
        <v>83</v>
      </c>
      <c r="E118" s="66" t="s">
        <v>224</v>
      </c>
      <c r="F118" s="66">
        <v>244</v>
      </c>
      <c r="G118" s="66">
        <v>222</v>
      </c>
      <c r="H118" s="181">
        <f>80-80</f>
        <v>0</v>
      </c>
      <c r="I118" s="61" t="s">
        <v>241</v>
      </c>
      <c r="J118" s="61"/>
      <c r="K118" s="62" t="e">
        <f t="shared" si="1"/>
        <v>#VALUE!</v>
      </c>
    </row>
    <row r="119" spans="1:11" ht="12.75" hidden="1">
      <c r="A119" s="63"/>
      <c r="B119" s="59" t="s">
        <v>204</v>
      </c>
      <c r="C119" s="59">
        <v>966</v>
      </c>
      <c r="D119" s="63" t="s">
        <v>83</v>
      </c>
      <c r="E119" s="66" t="s">
        <v>224</v>
      </c>
      <c r="F119" s="66">
        <v>244</v>
      </c>
      <c r="G119" s="66">
        <v>226</v>
      </c>
      <c r="H119" s="181">
        <v>0.7</v>
      </c>
      <c r="I119" s="61"/>
      <c r="J119" s="61"/>
      <c r="K119" s="62" t="e">
        <f t="shared" si="1"/>
        <v>#VALUE!</v>
      </c>
    </row>
    <row r="120" spans="1:11" ht="22.5" hidden="1">
      <c r="A120" s="63"/>
      <c r="B120" s="59" t="s">
        <v>213</v>
      </c>
      <c r="C120" s="59">
        <v>966</v>
      </c>
      <c r="D120" s="63" t="s">
        <v>83</v>
      </c>
      <c r="E120" s="66" t="s">
        <v>224</v>
      </c>
      <c r="F120" s="66">
        <v>244</v>
      </c>
      <c r="G120" s="66">
        <v>340</v>
      </c>
      <c r="H120" s="181">
        <f>10.6+20.4+96.9-0.2-0.7</f>
        <v>127</v>
      </c>
      <c r="I120" s="61"/>
      <c r="J120" s="61"/>
      <c r="K120" s="62" t="e">
        <f aca="true" t="shared" si="2" ref="K120:K183">J120/E120*100</f>
        <v>#VALUE!</v>
      </c>
    </row>
    <row r="121" spans="1:11" ht="12.75" hidden="1">
      <c r="A121" s="63" t="s">
        <v>25</v>
      </c>
      <c r="B121" s="59" t="s">
        <v>26</v>
      </c>
      <c r="C121" s="59">
        <v>966</v>
      </c>
      <c r="D121" s="63" t="s">
        <v>84</v>
      </c>
      <c r="E121" s="66"/>
      <c r="F121" s="66"/>
      <c r="G121" s="66"/>
      <c r="H121" s="66" t="e">
        <f>H122</f>
        <v>#REF!</v>
      </c>
      <c r="I121" s="61"/>
      <c r="J121" s="61"/>
      <c r="K121" s="62" t="e">
        <f t="shared" si="2"/>
        <v>#DIV/0!</v>
      </c>
    </row>
    <row r="122" spans="1:11" ht="12.75" hidden="1">
      <c r="A122" s="63" t="s">
        <v>93</v>
      </c>
      <c r="B122" s="61" t="s">
        <v>27</v>
      </c>
      <c r="C122" s="59">
        <v>966</v>
      </c>
      <c r="D122" s="63" t="s">
        <v>84</v>
      </c>
      <c r="E122" s="66" t="s">
        <v>171</v>
      </c>
      <c r="F122" s="66"/>
      <c r="G122" s="66"/>
      <c r="H122" s="66" t="e">
        <f>H123</f>
        <v>#REF!</v>
      </c>
      <c r="I122" s="61"/>
      <c r="J122" s="61"/>
      <c r="K122" s="62">
        <f t="shared" si="2"/>
        <v>0</v>
      </c>
    </row>
    <row r="123" spans="1:11" ht="12.75" hidden="1">
      <c r="A123" s="63" t="s">
        <v>28</v>
      </c>
      <c r="B123" s="61" t="s">
        <v>108</v>
      </c>
      <c r="C123" s="59">
        <v>966</v>
      </c>
      <c r="D123" s="63" t="s">
        <v>84</v>
      </c>
      <c r="E123" s="66" t="s">
        <v>171</v>
      </c>
      <c r="F123" s="66">
        <v>800</v>
      </c>
      <c r="G123" s="66"/>
      <c r="H123" s="66" t="e">
        <f>#REF!</f>
        <v>#REF!</v>
      </c>
      <c r="I123" s="61"/>
      <c r="J123" s="61"/>
      <c r="K123" s="62">
        <f t="shared" si="2"/>
        <v>0</v>
      </c>
    </row>
    <row r="124" spans="1:11" ht="12.75" hidden="1">
      <c r="A124" s="63"/>
      <c r="B124" s="59" t="s">
        <v>29</v>
      </c>
      <c r="C124" s="59">
        <v>966</v>
      </c>
      <c r="D124" s="63" t="s">
        <v>84</v>
      </c>
      <c r="E124" s="66" t="s">
        <v>171</v>
      </c>
      <c r="F124" s="66">
        <v>870</v>
      </c>
      <c r="G124" s="66"/>
      <c r="H124" s="66">
        <f>H125</f>
        <v>12.600000000000023</v>
      </c>
      <c r="I124" s="61"/>
      <c r="J124" s="61"/>
      <c r="K124" s="62">
        <f t="shared" si="2"/>
        <v>0</v>
      </c>
    </row>
    <row r="125" spans="1:11" ht="12.75" hidden="1">
      <c r="A125" s="63"/>
      <c r="B125" s="59" t="s">
        <v>199</v>
      </c>
      <c r="C125" s="59">
        <v>966</v>
      </c>
      <c r="D125" s="63" t="s">
        <v>84</v>
      </c>
      <c r="E125" s="66" t="s">
        <v>171</v>
      </c>
      <c r="F125" s="66">
        <v>870</v>
      </c>
      <c r="G125" s="66">
        <v>290</v>
      </c>
      <c r="H125" s="66">
        <f>100+190-277.4</f>
        <v>12.600000000000023</v>
      </c>
      <c r="I125" s="61"/>
      <c r="J125" s="61"/>
      <c r="K125" s="62">
        <f t="shared" si="2"/>
        <v>0</v>
      </c>
    </row>
    <row r="126" spans="1:11" ht="18.75" customHeight="1">
      <c r="A126" s="63" t="s">
        <v>25</v>
      </c>
      <c r="B126" s="59" t="s">
        <v>26</v>
      </c>
      <c r="C126" s="85" t="str">
        <f>C55</f>
        <v>01</v>
      </c>
      <c r="D126" s="63" t="s">
        <v>485</v>
      </c>
      <c r="E126" s="239">
        <v>0</v>
      </c>
      <c r="F126" s="240"/>
      <c r="G126" s="240"/>
      <c r="H126" s="241"/>
      <c r="I126" s="61"/>
      <c r="J126" s="62">
        <f>'Прил 2'!J70</f>
        <v>0</v>
      </c>
      <c r="K126" s="62" t="s">
        <v>434</v>
      </c>
    </row>
    <row r="127" spans="1:11" ht="67.5" hidden="1">
      <c r="A127" s="63" t="s">
        <v>31</v>
      </c>
      <c r="B127" s="59" t="s">
        <v>114</v>
      </c>
      <c r="C127" s="85">
        <f aca="true" t="shared" si="3" ref="C127:C186">C56</f>
        <v>966</v>
      </c>
      <c r="D127" s="63" t="s">
        <v>82</v>
      </c>
      <c r="E127" s="66" t="s">
        <v>172</v>
      </c>
      <c r="F127" s="66"/>
      <c r="G127" s="66"/>
      <c r="H127" s="66">
        <f>H128</f>
        <v>0</v>
      </c>
      <c r="I127" s="61"/>
      <c r="J127" s="61"/>
      <c r="K127" s="62">
        <f t="shared" si="2"/>
        <v>0</v>
      </c>
    </row>
    <row r="128" spans="1:11" ht="33.75" hidden="1">
      <c r="A128" s="63" t="s">
        <v>32</v>
      </c>
      <c r="B128" s="59" t="s">
        <v>24</v>
      </c>
      <c r="C128" s="85">
        <f t="shared" si="3"/>
        <v>966</v>
      </c>
      <c r="D128" s="63" t="s">
        <v>82</v>
      </c>
      <c r="E128" s="66" t="s">
        <v>172</v>
      </c>
      <c r="F128" s="66">
        <v>200</v>
      </c>
      <c r="G128" s="66"/>
      <c r="H128" s="66">
        <f>H129</f>
        <v>0</v>
      </c>
      <c r="I128" s="61"/>
      <c r="J128" s="61"/>
      <c r="K128" s="62">
        <f t="shared" si="2"/>
        <v>0</v>
      </c>
    </row>
    <row r="129" spans="1:11" ht="33.75" hidden="1">
      <c r="A129" s="63"/>
      <c r="B129" s="59" t="s">
        <v>107</v>
      </c>
      <c r="C129" s="85">
        <f t="shared" si="3"/>
        <v>966</v>
      </c>
      <c r="D129" s="63" t="s">
        <v>82</v>
      </c>
      <c r="E129" s="66" t="s">
        <v>172</v>
      </c>
      <c r="F129" s="66">
        <v>240</v>
      </c>
      <c r="G129" s="66"/>
      <c r="H129" s="66">
        <f>H130</f>
        <v>0</v>
      </c>
      <c r="I129" s="61"/>
      <c r="J129" s="61"/>
      <c r="K129" s="62">
        <f t="shared" si="2"/>
        <v>0</v>
      </c>
    </row>
    <row r="130" spans="1:11" ht="45" hidden="1">
      <c r="A130" s="63"/>
      <c r="B130" s="59" t="s">
        <v>195</v>
      </c>
      <c r="C130" s="85">
        <f t="shared" si="3"/>
        <v>966</v>
      </c>
      <c r="D130" s="63" t="s">
        <v>82</v>
      </c>
      <c r="E130" s="66" t="s">
        <v>172</v>
      </c>
      <c r="F130" s="66">
        <v>244</v>
      </c>
      <c r="G130" s="66"/>
      <c r="H130" s="66">
        <f>H131</f>
        <v>0</v>
      </c>
      <c r="I130" s="61"/>
      <c r="J130" s="61"/>
      <c r="K130" s="62">
        <f t="shared" si="2"/>
        <v>0</v>
      </c>
    </row>
    <row r="131" spans="1:11" ht="12.75" hidden="1">
      <c r="A131" s="63"/>
      <c r="B131" s="59" t="s">
        <v>204</v>
      </c>
      <c r="C131" s="85">
        <f t="shared" si="3"/>
        <v>966</v>
      </c>
      <c r="D131" s="63" t="s">
        <v>82</v>
      </c>
      <c r="E131" s="66" t="s">
        <v>172</v>
      </c>
      <c r="F131" s="66">
        <v>244</v>
      </c>
      <c r="G131" s="66">
        <v>226</v>
      </c>
      <c r="H131" s="66">
        <f>100-100</f>
        <v>0</v>
      </c>
      <c r="I131" s="61"/>
      <c r="J131" s="61">
        <v>1</v>
      </c>
      <c r="K131" s="62">
        <f t="shared" si="2"/>
        <v>1.2578616239863931E-08</v>
      </c>
    </row>
    <row r="132" spans="1:11" ht="90" hidden="1">
      <c r="A132" s="63" t="s">
        <v>93</v>
      </c>
      <c r="B132" s="59" t="s">
        <v>120</v>
      </c>
      <c r="C132" s="85">
        <f t="shared" si="3"/>
        <v>966</v>
      </c>
      <c r="D132" s="63" t="s">
        <v>82</v>
      </c>
      <c r="E132" s="66" t="s">
        <v>173</v>
      </c>
      <c r="F132" s="66"/>
      <c r="G132" s="66"/>
      <c r="H132" s="66" t="e">
        <f>#REF!</f>
        <v>#REF!</v>
      </c>
      <c r="I132" s="61"/>
      <c r="J132" s="61">
        <f>J133</f>
        <v>4.6</v>
      </c>
      <c r="K132" s="62">
        <f t="shared" si="2"/>
        <v>5.7861631646533185E-08</v>
      </c>
    </row>
    <row r="133" spans="1:11" ht="33.75" hidden="1">
      <c r="A133" s="63" t="s">
        <v>28</v>
      </c>
      <c r="B133" s="59" t="s">
        <v>24</v>
      </c>
      <c r="C133" s="85">
        <f t="shared" si="3"/>
        <v>966</v>
      </c>
      <c r="D133" s="63" t="s">
        <v>82</v>
      </c>
      <c r="E133" s="66" t="s">
        <v>173</v>
      </c>
      <c r="F133" s="66">
        <v>200</v>
      </c>
      <c r="G133" s="66"/>
      <c r="H133" s="66" t="e">
        <f>#REF!</f>
        <v>#REF!</v>
      </c>
      <c r="I133" s="61"/>
      <c r="J133" s="61">
        <v>4.6</v>
      </c>
      <c r="K133" s="62">
        <f t="shared" si="2"/>
        <v>5.7861631646533185E-08</v>
      </c>
    </row>
    <row r="134" spans="1:11" ht="33.75" hidden="1">
      <c r="A134" s="63"/>
      <c r="B134" s="59" t="s">
        <v>107</v>
      </c>
      <c r="C134" s="85">
        <f t="shared" si="3"/>
        <v>966</v>
      </c>
      <c r="D134" s="63" t="s">
        <v>82</v>
      </c>
      <c r="E134" s="66" t="s">
        <v>173</v>
      </c>
      <c r="F134" s="66">
        <v>240</v>
      </c>
      <c r="G134" s="66"/>
      <c r="H134" s="66">
        <f>H135</f>
        <v>4.7</v>
      </c>
      <c r="I134" s="61"/>
      <c r="J134" s="61"/>
      <c r="K134" s="62">
        <f t="shared" si="2"/>
        <v>0</v>
      </c>
    </row>
    <row r="135" spans="1:11" ht="45" hidden="1">
      <c r="A135" s="63"/>
      <c r="B135" s="59" t="s">
        <v>195</v>
      </c>
      <c r="C135" s="85">
        <f t="shared" si="3"/>
        <v>966</v>
      </c>
      <c r="D135" s="63" t="s">
        <v>82</v>
      </c>
      <c r="E135" s="66" t="s">
        <v>173</v>
      </c>
      <c r="F135" s="66">
        <v>244</v>
      </c>
      <c r="G135" s="66"/>
      <c r="H135" s="66">
        <f>H137+H136</f>
        <v>4.7</v>
      </c>
      <c r="I135" s="61"/>
      <c r="J135" s="61"/>
      <c r="K135" s="62">
        <f t="shared" si="2"/>
        <v>0</v>
      </c>
    </row>
    <row r="136" spans="1:11" ht="12.75" hidden="1">
      <c r="A136" s="63"/>
      <c r="B136" s="59" t="s">
        <v>204</v>
      </c>
      <c r="C136" s="85">
        <f t="shared" si="3"/>
        <v>966</v>
      </c>
      <c r="D136" s="63" t="s">
        <v>82</v>
      </c>
      <c r="E136" s="66" t="s">
        <v>173</v>
      </c>
      <c r="F136" s="66">
        <v>244</v>
      </c>
      <c r="G136" s="66">
        <v>226</v>
      </c>
      <c r="H136" s="66">
        <f>100-100</f>
        <v>0</v>
      </c>
      <c r="I136" s="61"/>
      <c r="J136" s="61"/>
      <c r="K136" s="62">
        <f t="shared" si="2"/>
        <v>0</v>
      </c>
    </row>
    <row r="137" spans="1:11" ht="22.5" hidden="1">
      <c r="A137" s="63"/>
      <c r="B137" s="59" t="s">
        <v>213</v>
      </c>
      <c r="C137" s="85">
        <f t="shared" si="3"/>
        <v>966</v>
      </c>
      <c r="D137" s="63" t="s">
        <v>82</v>
      </c>
      <c r="E137" s="66" t="s">
        <v>173</v>
      </c>
      <c r="F137" s="66">
        <v>244</v>
      </c>
      <c r="G137" s="66">
        <v>340</v>
      </c>
      <c r="H137" s="66">
        <f>6-1.3</f>
        <v>4.7</v>
      </c>
      <c r="I137" s="61"/>
      <c r="J137" s="61"/>
      <c r="K137" s="62">
        <f t="shared" si="2"/>
        <v>0</v>
      </c>
    </row>
    <row r="138" spans="1:11" ht="67.5" hidden="1">
      <c r="A138" s="63" t="s">
        <v>435</v>
      </c>
      <c r="B138" s="59" t="s">
        <v>119</v>
      </c>
      <c r="C138" s="85">
        <f t="shared" si="3"/>
        <v>966</v>
      </c>
      <c r="D138" s="63" t="s">
        <v>82</v>
      </c>
      <c r="E138" s="66" t="s">
        <v>174</v>
      </c>
      <c r="F138" s="66"/>
      <c r="G138" s="66"/>
      <c r="H138" s="66" t="e">
        <f>#REF!</f>
        <v>#REF!</v>
      </c>
      <c r="I138" s="61"/>
      <c r="J138" s="61">
        <f>J139</f>
        <v>90</v>
      </c>
      <c r="K138" s="62">
        <f t="shared" si="2"/>
        <v>1.132075398932009E-06</v>
      </c>
    </row>
    <row r="139" spans="1:11" ht="33.75" hidden="1">
      <c r="A139" s="63" t="s">
        <v>436</v>
      </c>
      <c r="B139" s="59" t="s">
        <v>24</v>
      </c>
      <c r="C139" s="85">
        <f t="shared" si="3"/>
        <v>966</v>
      </c>
      <c r="D139" s="63" t="s">
        <v>82</v>
      </c>
      <c r="E139" s="66" t="s">
        <v>174</v>
      </c>
      <c r="F139" s="66">
        <v>200</v>
      </c>
      <c r="G139" s="66"/>
      <c r="H139" s="66" t="e">
        <f>#REF!</f>
        <v>#REF!</v>
      </c>
      <c r="I139" s="61"/>
      <c r="J139" s="61">
        <v>90</v>
      </c>
      <c r="K139" s="62">
        <f t="shared" si="2"/>
        <v>1.132075398932009E-06</v>
      </c>
    </row>
    <row r="140" spans="1:11" ht="33.75" hidden="1">
      <c r="A140" s="63"/>
      <c r="B140" s="59" t="s">
        <v>107</v>
      </c>
      <c r="C140" s="85">
        <f t="shared" si="3"/>
        <v>966</v>
      </c>
      <c r="D140" s="63" t="s">
        <v>82</v>
      </c>
      <c r="E140" s="66" t="s">
        <v>174</v>
      </c>
      <c r="F140" s="66">
        <v>240</v>
      </c>
      <c r="G140" s="66"/>
      <c r="H140" s="66">
        <f>H141</f>
        <v>90</v>
      </c>
      <c r="I140" s="61"/>
      <c r="J140" s="61"/>
      <c r="K140" s="62">
        <f t="shared" si="2"/>
        <v>0</v>
      </c>
    </row>
    <row r="141" spans="1:11" ht="45" hidden="1">
      <c r="A141" s="63"/>
      <c r="B141" s="59" t="s">
        <v>195</v>
      </c>
      <c r="C141" s="85">
        <f t="shared" si="3"/>
        <v>966</v>
      </c>
      <c r="D141" s="63" t="s">
        <v>82</v>
      </c>
      <c r="E141" s="66" t="s">
        <v>174</v>
      </c>
      <c r="F141" s="66">
        <v>244</v>
      </c>
      <c r="G141" s="182"/>
      <c r="H141" s="66">
        <f>H142</f>
        <v>90</v>
      </c>
      <c r="I141" s="61"/>
      <c r="J141" s="61"/>
      <c r="K141" s="62">
        <f t="shared" si="2"/>
        <v>0</v>
      </c>
    </row>
    <row r="142" spans="1:11" ht="12.75" hidden="1">
      <c r="A142" s="63"/>
      <c r="B142" s="59" t="s">
        <v>199</v>
      </c>
      <c r="C142" s="85">
        <f t="shared" si="3"/>
        <v>966</v>
      </c>
      <c r="D142" s="63" t="s">
        <v>82</v>
      </c>
      <c r="E142" s="66" t="s">
        <v>174</v>
      </c>
      <c r="F142" s="66">
        <v>244</v>
      </c>
      <c r="G142" s="66">
        <v>290</v>
      </c>
      <c r="H142" s="66">
        <f>140+378.5-500+71.5</f>
        <v>90</v>
      </c>
      <c r="I142" s="61"/>
      <c r="J142" s="61"/>
      <c r="K142" s="62">
        <f t="shared" si="2"/>
        <v>0</v>
      </c>
    </row>
    <row r="143" spans="1:11" ht="33.75" hidden="1">
      <c r="A143" s="63" t="s">
        <v>437</v>
      </c>
      <c r="B143" s="59" t="s">
        <v>113</v>
      </c>
      <c r="C143" s="85">
        <f t="shared" si="3"/>
        <v>966</v>
      </c>
      <c r="D143" s="63" t="s">
        <v>82</v>
      </c>
      <c r="E143" s="66" t="s">
        <v>190</v>
      </c>
      <c r="F143" s="66"/>
      <c r="G143" s="66"/>
      <c r="H143" s="66" t="e">
        <f>#REF!</f>
        <v>#REF!</v>
      </c>
      <c r="I143" s="61"/>
      <c r="J143" s="62" t="e">
        <f>J144</f>
        <v>#REF!</v>
      </c>
      <c r="K143" s="62" t="e">
        <f t="shared" si="2"/>
        <v>#REF!</v>
      </c>
    </row>
    <row r="144" spans="1:11" ht="33.75" hidden="1">
      <c r="A144" s="63" t="s">
        <v>438</v>
      </c>
      <c r="B144" s="59" t="s">
        <v>24</v>
      </c>
      <c r="C144" s="85">
        <f t="shared" si="3"/>
        <v>966</v>
      </c>
      <c r="D144" s="63" t="s">
        <v>82</v>
      </c>
      <c r="E144" s="66" t="s">
        <v>190</v>
      </c>
      <c r="F144" s="66">
        <v>200</v>
      </c>
      <c r="G144" s="66"/>
      <c r="H144" s="66" t="e">
        <f>#REF!</f>
        <v>#REF!</v>
      </c>
      <c r="I144" s="61"/>
      <c r="J144" s="62" t="e">
        <f>H144</f>
        <v>#REF!</v>
      </c>
      <c r="K144" s="62" t="e">
        <f t="shared" si="2"/>
        <v>#REF!</v>
      </c>
    </row>
    <row r="145" spans="1:11" ht="33.75" hidden="1">
      <c r="A145" s="63"/>
      <c r="B145" s="59" t="s">
        <v>107</v>
      </c>
      <c r="C145" s="85">
        <f t="shared" si="3"/>
        <v>966</v>
      </c>
      <c r="D145" s="63" t="s">
        <v>82</v>
      </c>
      <c r="E145" s="66" t="s">
        <v>190</v>
      </c>
      <c r="F145" s="66">
        <v>240</v>
      </c>
      <c r="G145" s="66"/>
      <c r="H145" s="66">
        <f>H146</f>
        <v>651.8</v>
      </c>
      <c r="I145" s="61"/>
      <c r="J145" s="61"/>
      <c r="K145" s="62">
        <f t="shared" si="2"/>
        <v>0</v>
      </c>
    </row>
    <row r="146" spans="1:11" ht="45" hidden="1">
      <c r="A146" s="63"/>
      <c r="B146" s="59" t="s">
        <v>195</v>
      </c>
      <c r="C146" s="85">
        <f t="shared" si="3"/>
        <v>966</v>
      </c>
      <c r="D146" s="63" t="s">
        <v>82</v>
      </c>
      <c r="E146" s="66" t="s">
        <v>190</v>
      </c>
      <c r="F146" s="66">
        <v>244</v>
      </c>
      <c r="G146" s="66"/>
      <c r="H146" s="66">
        <f>H147+H149+H148</f>
        <v>651.8</v>
      </c>
      <c r="I146" s="61"/>
      <c r="J146" s="61"/>
      <c r="K146" s="62">
        <f t="shared" si="2"/>
        <v>0</v>
      </c>
    </row>
    <row r="147" spans="1:11" ht="12.75" hidden="1">
      <c r="A147" s="63"/>
      <c r="B147" s="59" t="s">
        <v>204</v>
      </c>
      <c r="C147" s="85">
        <f t="shared" si="3"/>
        <v>966</v>
      </c>
      <c r="D147" s="63" t="s">
        <v>82</v>
      </c>
      <c r="E147" s="66" t="s">
        <v>190</v>
      </c>
      <c r="F147" s="66">
        <v>244</v>
      </c>
      <c r="G147" s="66">
        <v>226</v>
      </c>
      <c r="H147" s="66">
        <f>270-270</f>
        <v>0</v>
      </c>
      <c r="I147" s="61"/>
      <c r="J147" s="61"/>
      <c r="K147" s="62">
        <f t="shared" si="2"/>
        <v>0</v>
      </c>
    </row>
    <row r="148" spans="1:11" ht="22.5" hidden="1">
      <c r="A148" s="63"/>
      <c r="B148" s="59" t="s">
        <v>214</v>
      </c>
      <c r="C148" s="85">
        <f t="shared" si="3"/>
        <v>966</v>
      </c>
      <c r="D148" s="63" t="s">
        <v>82</v>
      </c>
      <c r="E148" s="66" t="s">
        <v>190</v>
      </c>
      <c r="F148" s="66">
        <v>244</v>
      </c>
      <c r="G148" s="66">
        <v>310</v>
      </c>
      <c r="H148" s="66">
        <f>647-348</f>
        <v>299</v>
      </c>
      <c r="I148" s="61"/>
      <c r="J148" s="61"/>
      <c r="K148" s="62">
        <f t="shared" si="2"/>
        <v>0</v>
      </c>
    </row>
    <row r="149" spans="1:11" ht="22.5" hidden="1">
      <c r="A149" s="63"/>
      <c r="B149" s="59" t="s">
        <v>213</v>
      </c>
      <c r="C149" s="85">
        <f t="shared" si="3"/>
        <v>966</v>
      </c>
      <c r="D149" s="63" t="s">
        <v>82</v>
      </c>
      <c r="E149" s="66" t="s">
        <v>190</v>
      </c>
      <c r="F149" s="66">
        <v>244</v>
      </c>
      <c r="G149" s="66">
        <v>340</v>
      </c>
      <c r="H149" s="66">
        <f>353-0.2</f>
        <v>352.8</v>
      </c>
      <c r="I149" s="61"/>
      <c r="J149" s="61">
        <v>1</v>
      </c>
      <c r="K149" s="62">
        <f t="shared" si="2"/>
        <v>3.030302964187329E-08</v>
      </c>
    </row>
    <row r="150" spans="1:11" ht="112.5" hidden="1">
      <c r="A150" s="63" t="s">
        <v>439</v>
      </c>
      <c r="B150" s="59" t="s">
        <v>118</v>
      </c>
      <c r="C150" s="85">
        <f t="shared" si="3"/>
        <v>966</v>
      </c>
      <c r="D150" s="63" t="s">
        <v>82</v>
      </c>
      <c r="E150" s="66" t="s">
        <v>175</v>
      </c>
      <c r="F150" s="66"/>
      <c r="G150" s="66"/>
      <c r="H150" s="66" t="e">
        <f>H151</f>
        <v>#REF!</v>
      </c>
      <c r="I150" s="61"/>
      <c r="J150" s="61">
        <f>J151</f>
        <v>94.2</v>
      </c>
      <c r="K150" s="62">
        <f t="shared" si="2"/>
        <v>1.1849055827250555E-06</v>
      </c>
    </row>
    <row r="151" spans="1:11" ht="33.75" hidden="1">
      <c r="A151" s="63" t="s">
        <v>440</v>
      </c>
      <c r="B151" s="59" t="s">
        <v>24</v>
      </c>
      <c r="C151" s="85">
        <f t="shared" si="3"/>
        <v>966</v>
      </c>
      <c r="D151" s="63" t="s">
        <v>82</v>
      </c>
      <c r="E151" s="66" t="s">
        <v>175</v>
      </c>
      <c r="F151" s="66">
        <v>200</v>
      </c>
      <c r="G151" s="66"/>
      <c r="H151" s="66" t="e">
        <f>#REF!</f>
        <v>#REF!</v>
      </c>
      <c r="I151" s="61"/>
      <c r="J151" s="61">
        <v>94.2</v>
      </c>
      <c r="K151" s="62">
        <f t="shared" si="2"/>
        <v>1.1849055827250555E-06</v>
      </c>
    </row>
    <row r="152" spans="1:11" ht="33.75" hidden="1">
      <c r="A152" s="63"/>
      <c r="B152" s="59" t="s">
        <v>107</v>
      </c>
      <c r="C152" s="85">
        <f t="shared" si="3"/>
        <v>966</v>
      </c>
      <c r="D152" s="63" t="s">
        <v>82</v>
      </c>
      <c r="E152" s="66" t="s">
        <v>175</v>
      </c>
      <c r="F152" s="66">
        <v>240</v>
      </c>
      <c r="G152" s="66"/>
      <c r="H152" s="66">
        <f>H153</f>
        <v>94.3</v>
      </c>
      <c r="I152" s="61"/>
      <c r="J152" s="61"/>
      <c r="K152" s="62">
        <f t="shared" si="2"/>
        <v>0</v>
      </c>
    </row>
    <row r="153" spans="1:11" ht="45" hidden="1">
      <c r="A153" s="63"/>
      <c r="B153" s="59" t="s">
        <v>195</v>
      </c>
      <c r="C153" s="85">
        <f t="shared" si="3"/>
        <v>966</v>
      </c>
      <c r="D153" s="63" t="s">
        <v>82</v>
      </c>
      <c r="E153" s="66" t="s">
        <v>175</v>
      </c>
      <c r="F153" s="66">
        <v>244</v>
      </c>
      <c r="G153" s="66"/>
      <c r="H153" s="66">
        <f>H156+H155</f>
        <v>94.3</v>
      </c>
      <c r="I153" s="61"/>
      <c r="J153" s="61"/>
      <c r="K153" s="62">
        <f t="shared" si="2"/>
        <v>0</v>
      </c>
    </row>
    <row r="154" spans="1:11" ht="12.75" hidden="1">
      <c r="A154" s="63"/>
      <c r="B154" s="59" t="s">
        <v>204</v>
      </c>
      <c r="C154" s="85">
        <f t="shared" si="3"/>
        <v>966</v>
      </c>
      <c r="D154" s="63" t="s">
        <v>82</v>
      </c>
      <c r="E154" s="66" t="s">
        <v>175</v>
      </c>
      <c r="F154" s="66">
        <v>244</v>
      </c>
      <c r="G154" s="66">
        <v>226</v>
      </c>
      <c r="H154" s="66">
        <f>100-100</f>
        <v>0</v>
      </c>
      <c r="I154" s="61"/>
      <c r="J154" s="61"/>
      <c r="K154" s="62">
        <f t="shared" si="2"/>
        <v>0</v>
      </c>
    </row>
    <row r="155" spans="1:11" ht="12.75" hidden="1">
      <c r="A155" s="63"/>
      <c r="B155" s="59" t="s">
        <v>199</v>
      </c>
      <c r="C155" s="85">
        <f t="shared" si="3"/>
        <v>966</v>
      </c>
      <c r="D155" s="63" t="s">
        <v>82</v>
      </c>
      <c r="E155" s="66" t="s">
        <v>175</v>
      </c>
      <c r="F155" s="66">
        <v>244</v>
      </c>
      <c r="G155" s="66">
        <v>290</v>
      </c>
      <c r="H155" s="66">
        <f>100-10</f>
        <v>90</v>
      </c>
      <c r="I155" s="61"/>
      <c r="J155" s="61"/>
      <c r="K155" s="62">
        <f t="shared" si="2"/>
        <v>0</v>
      </c>
    </row>
    <row r="156" spans="1:11" ht="22.5" hidden="1">
      <c r="A156" s="63"/>
      <c r="B156" s="59" t="s">
        <v>213</v>
      </c>
      <c r="C156" s="85">
        <f t="shared" si="3"/>
        <v>966</v>
      </c>
      <c r="D156" s="63" t="s">
        <v>82</v>
      </c>
      <c r="E156" s="66" t="s">
        <v>175</v>
      </c>
      <c r="F156" s="66">
        <v>244</v>
      </c>
      <c r="G156" s="66">
        <v>340</v>
      </c>
      <c r="H156" s="66">
        <f>5.5-1.2</f>
        <v>4.3</v>
      </c>
      <c r="I156" s="61"/>
      <c r="J156" s="61">
        <v>1</v>
      </c>
      <c r="K156" s="62">
        <f t="shared" si="2"/>
        <v>1.2578615527866831E-08</v>
      </c>
    </row>
    <row r="157" spans="1:11" ht="56.25" hidden="1">
      <c r="A157" s="63" t="s">
        <v>441</v>
      </c>
      <c r="B157" s="59" t="s">
        <v>117</v>
      </c>
      <c r="C157" s="85">
        <f t="shared" si="3"/>
        <v>966</v>
      </c>
      <c r="D157" s="63" t="s">
        <v>82</v>
      </c>
      <c r="E157" s="66" t="s">
        <v>225</v>
      </c>
      <c r="F157" s="66"/>
      <c r="G157" s="66"/>
      <c r="H157" s="66" t="e">
        <f>H158</f>
        <v>#REF!</v>
      </c>
      <c r="I157" s="61"/>
      <c r="J157" s="61">
        <f>J158</f>
        <v>94.2</v>
      </c>
      <c r="K157" s="62">
        <f t="shared" si="2"/>
        <v>1.1849055812346085E-06</v>
      </c>
    </row>
    <row r="158" spans="1:11" ht="33.75" hidden="1">
      <c r="A158" s="63" t="s">
        <v>442</v>
      </c>
      <c r="B158" s="59" t="s">
        <v>24</v>
      </c>
      <c r="C158" s="85">
        <f t="shared" si="3"/>
        <v>966</v>
      </c>
      <c r="D158" s="63" t="s">
        <v>82</v>
      </c>
      <c r="E158" s="66" t="s">
        <v>225</v>
      </c>
      <c r="F158" s="66">
        <v>200</v>
      </c>
      <c r="G158" s="66"/>
      <c r="H158" s="66" t="e">
        <f>#REF!</f>
        <v>#REF!</v>
      </c>
      <c r="I158" s="61"/>
      <c r="J158" s="61">
        <v>94.2</v>
      </c>
      <c r="K158" s="62">
        <f t="shared" si="2"/>
        <v>1.1849055812346085E-06</v>
      </c>
    </row>
    <row r="159" spans="1:11" ht="33.75" hidden="1">
      <c r="A159" s="63"/>
      <c r="B159" s="59" t="s">
        <v>107</v>
      </c>
      <c r="C159" s="85">
        <f t="shared" si="3"/>
        <v>966</v>
      </c>
      <c r="D159" s="63" t="s">
        <v>82</v>
      </c>
      <c r="E159" s="66" t="s">
        <v>225</v>
      </c>
      <c r="F159" s="66">
        <v>240</v>
      </c>
      <c r="G159" s="66"/>
      <c r="H159" s="66">
        <f>H160</f>
        <v>94.2</v>
      </c>
      <c r="I159" s="61"/>
      <c r="J159" s="61"/>
      <c r="K159" s="62">
        <f t="shared" si="2"/>
        <v>0</v>
      </c>
    </row>
    <row r="160" spans="1:11" ht="45" hidden="1">
      <c r="A160" s="63"/>
      <c r="B160" s="59" t="s">
        <v>195</v>
      </c>
      <c r="C160" s="85">
        <f t="shared" si="3"/>
        <v>966</v>
      </c>
      <c r="D160" s="63" t="s">
        <v>82</v>
      </c>
      <c r="E160" s="66" t="s">
        <v>225</v>
      </c>
      <c r="F160" s="66">
        <v>244</v>
      </c>
      <c r="G160" s="66"/>
      <c r="H160" s="66">
        <f>SUM(H162:H163)</f>
        <v>94.2</v>
      </c>
      <c r="I160" s="61"/>
      <c r="J160" s="61"/>
      <c r="K160" s="62">
        <f t="shared" si="2"/>
        <v>0</v>
      </c>
    </row>
    <row r="161" spans="1:11" ht="12.75" hidden="1">
      <c r="A161" s="63"/>
      <c r="B161" s="59" t="s">
        <v>204</v>
      </c>
      <c r="C161" s="85">
        <f t="shared" si="3"/>
        <v>966</v>
      </c>
      <c r="D161" s="63" t="s">
        <v>82</v>
      </c>
      <c r="E161" s="66" t="s">
        <v>225</v>
      </c>
      <c r="F161" s="66">
        <v>244</v>
      </c>
      <c r="G161" s="66">
        <v>226</v>
      </c>
      <c r="H161" s="66">
        <f>90-90</f>
        <v>0</v>
      </c>
      <c r="I161" s="61"/>
      <c r="J161" s="61">
        <v>1</v>
      </c>
      <c r="K161" s="62">
        <f t="shared" si="2"/>
        <v>1.2578615512044674E-08</v>
      </c>
    </row>
    <row r="162" spans="1:11" ht="12.75" hidden="1">
      <c r="A162" s="63"/>
      <c r="B162" s="59" t="s">
        <v>199</v>
      </c>
      <c r="C162" s="85">
        <f t="shared" si="3"/>
        <v>966</v>
      </c>
      <c r="D162" s="63" t="s">
        <v>82</v>
      </c>
      <c r="E162" s="66" t="s">
        <v>225</v>
      </c>
      <c r="F162" s="66">
        <v>244</v>
      </c>
      <c r="G162" s="66">
        <v>290</v>
      </c>
      <c r="H162" s="66">
        <v>90</v>
      </c>
      <c r="I162" s="61"/>
      <c r="J162" s="61">
        <v>1</v>
      </c>
      <c r="K162" s="62">
        <f t="shared" si="2"/>
        <v>1.2578615512044674E-08</v>
      </c>
    </row>
    <row r="163" spans="1:11" ht="22.5" hidden="1">
      <c r="A163" s="63"/>
      <c r="B163" s="59" t="s">
        <v>213</v>
      </c>
      <c r="C163" s="85">
        <f t="shared" si="3"/>
        <v>966</v>
      </c>
      <c r="D163" s="63" t="s">
        <v>82</v>
      </c>
      <c r="E163" s="66" t="s">
        <v>225</v>
      </c>
      <c r="F163" s="66">
        <v>244</v>
      </c>
      <c r="G163" s="66">
        <v>340</v>
      </c>
      <c r="H163" s="66">
        <f>5.5-1.3</f>
        <v>4.2</v>
      </c>
      <c r="I163" s="61"/>
      <c r="J163" s="61">
        <v>1</v>
      </c>
      <c r="K163" s="62">
        <f t="shared" si="2"/>
        <v>1.2578615512044674E-08</v>
      </c>
    </row>
    <row r="164" spans="1:11" ht="84" customHeight="1" hidden="1">
      <c r="A164" s="63" t="s">
        <v>443</v>
      </c>
      <c r="B164" s="59" t="s">
        <v>116</v>
      </c>
      <c r="C164" s="85">
        <f t="shared" si="3"/>
        <v>966</v>
      </c>
      <c r="D164" s="63" t="s">
        <v>82</v>
      </c>
      <c r="E164" s="66" t="s">
        <v>176</v>
      </c>
      <c r="F164" s="66"/>
      <c r="G164" s="66"/>
      <c r="H164" s="66" t="e">
        <f>H165</f>
        <v>#REF!</v>
      </c>
      <c r="I164" s="61"/>
      <c r="J164" s="61">
        <f>J165</f>
        <v>94.1</v>
      </c>
      <c r="K164" s="62">
        <f t="shared" si="2"/>
        <v>1.183647718194539E-06</v>
      </c>
    </row>
    <row r="165" spans="1:11" ht="33.75" hidden="1">
      <c r="A165" s="63" t="s">
        <v>444</v>
      </c>
      <c r="B165" s="59" t="s">
        <v>24</v>
      </c>
      <c r="C165" s="85">
        <f t="shared" si="3"/>
        <v>966</v>
      </c>
      <c r="D165" s="63" t="s">
        <v>82</v>
      </c>
      <c r="E165" s="66" t="s">
        <v>176</v>
      </c>
      <c r="F165" s="66">
        <v>200</v>
      </c>
      <c r="G165" s="66"/>
      <c r="H165" s="66" t="e">
        <f>#REF!</f>
        <v>#REF!</v>
      </c>
      <c r="I165" s="61"/>
      <c r="J165" s="61">
        <v>94.1</v>
      </c>
      <c r="K165" s="62">
        <f t="shared" si="2"/>
        <v>1.183647718194539E-06</v>
      </c>
    </row>
    <row r="166" spans="1:11" ht="33.75" hidden="1">
      <c r="A166" s="63"/>
      <c r="B166" s="59" t="s">
        <v>107</v>
      </c>
      <c r="C166" s="85">
        <f t="shared" si="3"/>
        <v>966</v>
      </c>
      <c r="D166" s="63" t="s">
        <v>82</v>
      </c>
      <c r="E166" s="66" t="s">
        <v>176</v>
      </c>
      <c r="F166" s="66">
        <v>240</v>
      </c>
      <c r="G166" s="66"/>
      <c r="H166" s="66">
        <f>H167</f>
        <v>94.2</v>
      </c>
      <c r="I166" s="61"/>
      <c r="J166" s="61"/>
      <c r="K166" s="62">
        <f t="shared" si="2"/>
        <v>0</v>
      </c>
    </row>
    <row r="167" spans="1:11" ht="45" hidden="1">
      <c r="A167" s="63"/>
      <c r="B167" s="59" t="s">
        <v>195</v>
      </c>
      <c r="C167" s="85">
        <f t="shared" si="3"/>
        <v>966</v>
      </c>
      <c r="D167" s="63" t="s">
        <v>82</v>
      </c>
      <c r="E167" s="66" t="s">
        <v>176</v>
      </c>
      <c r="F167" s="66">
        <v>244</v>
      </c>
      <c r="G167" s="66"/>
      <c r="H167" s="66">
        <f>H169+H168</f>
        <v>94.2</v>
      </c>
      <c r="I167" s="61"/>
      <c r="J167" s="61"/>
      <c r="K167" s="62">
        <f t="shared" si="2"/>
        <v>0</v>
      </c>
    </row>
    <row r="168" spans="1:11" ht="12.75" hidden="1">
      <c r="A168" s="63"/>
      <c r="B168" s="59" t="s">
        <v>199</v>
      </c>
      <c r="C168" s="85">
        <f t="shared" si="3"/>
        <v>966</v>
      </c>
      <c r="D168" s="63" t="s">
        <v>82</v>
      </c>
      <c r="E168" s="66" t="s">
        <v>176</v>
      </c>
      <c r="F168" s="66">
        <v>244</v>
      </c>
      <c r="G168" s="66">
        <v>290</v>
      </c>
      <c r="H168" s="66">
        <f>100-10</f>
        <v>90</v>
      </c>
      <c r="I168" s="61"/>
      <c r="J168" s="61"/>
      <c r="K168" s="62">
        <f t="shared" si="2"/>
        <v>0</v>
      </c>
    </row>
    <row r="169" spans="1:11" ht="22.5" hidden="1">
      <c r="A169" s="63"/>
      <c r="B169" s="59" t="s">
        <v>213</v>
      </c>
      <c r="C169" s="85">
        <f t="shared" si="3"/>
        <v>966</v>
      </c>
      <c r="D169" s="63" t="s">
        <v>82</v>
      </c>
      <c r="E169" s="66" t="s">
        <v>176</v>
      </c>
      <c r="F169" s="66">
        <v>244</v>
      </c>
      <c r="G169" s="66">
        <v>340</v>
      </c>
      <c r="H169" s="66">
        <f>5.5-1.2-0.1</f>
        <v>4.2</v>
      </c>
      <c r="I169" s="61"/>
      <c r="J169" s="61">
        <v>1</v>
      </c>
      <c r="K169" s="62">
        <f t="shared" si="2"/>
        <v>1.2578615496222517E-08</v>
      </c>
    </row>
    <row r="170" spans="1:11" ht="45" hidden="1">
      <c r="A170" s="63" t="s">
        <v>445</v>
      </c>
      <c r="B170" s="59" t="s">
        <v>115</v>
      </c>
      <c r="C170" s="85">
        <f t="shared" si="3"/>
        <v>966</v>
      </c>
      <c r="D170" s="63" t="s">
        <v>82</v>
      </c>
      <c r="E170" s="66" t="s">
        <v>177</v>
      </c>
      <c r="F170" s="66"/>
      <c r="G170" s="66"/>
      <c r="H170" s="66" t="e">
        <f>H171</f>
        <v>#REF!</v>
      </c>
      <c r="I170" s="61"/>
      <c r="J170" s="61">
        <f>J171</f>
        <v>198</v>
      </c>
      <c r="K170" s="62">
        <f t="shared" si="2"/>
        <v>2.4905660060946962E-06</v>
      </c>
    </row>
    <row r="171" spans="1:11" ht="33.75" hidden="1">
      <c r="A171" s="63" t="s">
        <v>446</v>
      </c>
      <c r="B171" s="59" t="s">
        <v>24</v>
      </c>
      <c r="C171" s="85">
        <f t="shared" si="3"/>
        <v>966</v>
      </c>
      <c r="D171" s="63" t="s">
        <v>82</v>
      </c>
      <c r="E171" s="66" t="s">
        <v>177</v>
      </c>
      <c r="F171" s="66">
        <v>200</v>
      </c>
      <c r="G171" s="66"/>
      <c r="H171" s="66" t="e">
        <f>#REF!</f>
        <v>#REF!</v>
      </c>
      <c r="I171" s="61"/>
      <c r="J171" s="61">
        <v>198</v>
      </c>
      <c r="K171" s="62">
        <f t="shared" si="2"/>
        <v>2.4905660060946962E-06</v>
      </c>
    </row>
    <row r="172" spans="1:11" ht="33.75" hidden="1">
      <c r="A172" s="63"/>
      <c r="B172" s="59" t="s">
        <v>107</v>
      </c>
      <c r="C172" s="85">
        <f t="shared" si="3"/>
        <v>966</v>
      </c>
      <c r="D172" s="63" t="s">
        <v>82</v>
      </c>
      <c r="E172" s="66" t="s">
        <v>177</v>
      </c>
      <c r="F172" s="66">
        <v>240</v>
      </c>
      <c r="G172" s="66"/>
      <c r="H172" s="66">
        <f>H173</f>
        <v>208</v>
      </c>
      <c r="I172" s="61"/>
      <c r="J172" s="61"/>
      <c r="K172" s="62">
        <f t="shared" si="2"/>
        <v>0</v>
      </c>
    </row>
    <row r="173" spans="1:11" ht="45" hidden="1">
      <c r="A173" s="63"/>
      <c r="B173" s="59" t="s">
        <v>195</v>
      </c>
      <c r="C173" s="85">
        <f t="shared" si="3"/>
        <v>0</v>
      </c>
      <c r="D173" s="63" t="s">
        <v>82</v>
      </c>
      <c r="E173" s="66" t="s">
        <v>177</v>
      </c>
      <c r="F173" s="66">
        <v>244</v>
      </c>
      <c r="G173" s="66"/>
      <c r="H173" s="66">
        <f>H174</f>
        <v>208</v>
      </c>
      <c r="I173" s="61"/>
      <c r="J173" s="61"/>
      <c r="K173" s="62">
        <f t="shared" si="2"/>
        <v>0</v>
      </c>
    </row>
    <row r="174" spans="1:11" ht="12.75" hidden="1">
      <c r="A174" s="63"/>
      <c r="B174" s="59" t="s">
        <v>204</v>
      </c>
      <c r="C174" s="85">
        <f t="shared" si="3"/>
        <v>966</v>
      </c>
      <c r="D174" s="63" t="s">
        <v>82</v>
      </c>
      <c r="E174" s="66" t="s">
        <v>177</v>
      </c>
      <c r="F174" s="66">
        <v>244</v>
      </c>
      <c r="G174" s="66">
        <v>226</v>
      </c>
      <c r="H174" s="66">
        <f>220-22+10</f>
        <v>208</v>
      </c>
      <c r="I174" s="61"/>
      <c r="J174" s="61"/>
      <c r="K174" s="62">
        <f t="shared" si="2"/>
        <v>0</v>
      </c>
    </row>
    <row r="175" spans="1:11" ht="60" customHeight="1" hidden="1">
      <c r="A175" s="63" t="s">
        <v>447</v>
      </c>
      <c r="B175" s="59" t="s">
        <v>163</v>
      </c>
      <c r="C175" s="85">
        <f t="shared" si="3"/>
        <v>966</v>
      </c>
      <c r="D175" s="63" t="s">
        <v>82</v>
      </c>
      <c r="E175" s="66" t="s">
        <v>178</v>
      </c>
      <c r="F175" s="66"/>
      <c r="G175" s="66"/>
      <c r="H175" s="66" t="e">
        <f>H176</f>
        <v>#REF!</v>
      </c>
      <c r="I175" s="61"/>
      <c r="J175" s="61">
        <f>J176</f>
        <v>19.3</v>
      </c>
      <c r="K175" s="62">
        <f t="shared" si="2"/>
        <v>5.594201956454685E-07</v>
      </c>
    </row>
    <row r="176" spans="1:11" ht="33.75" hidden="1">
      <c r="A176" s="63" t="s">
        <v>448</v>
      </c>
      <c r="B176" s="59" t="s">
        <v>24</v>
      </c>
      <c r="C176" s="85">
        <f t="shared" si="3"/>
        <v>966</v>
      </c>
      <c r="D176" s="63" t="s">
        <v>82</v>
      </c>
      <c r="E176" s="66" t="s">
        <v>178</v>
      </c>
      <c r="F176" s="66">
        <v>200</v>
      </c>
      <c r="G176" s="66"/>
      <c r="H176" s="66" t="e">
        <f>#REF!</f>
        <v>#REF!</v>
      </c>
      <c r="I176" s="61"/>
      <c r="J176" s="61">
        <v>19.3</v>
      </c>
      <c r="K176" s="62">
        <f t="shared" si="2"/>
        <v>5.594201956454685E-07</v>
      </c>
    </row>
    <row r="177" spans="1:11" ht="33.75" hidden="1">
      <c r="A177" s="63"/>
      <c r="B177" s="59" t="s">
        <v>107</v>
      </c>
      <c r="C177" s="85">
        <f t="shared" si="3"/>
        <v>966</v>
      </c>
      <c r="D177" s="63" t="s">
        <v>82</v>
      </c>
      <c r="E177" s="66" t="s">
        <v>178</v>
      </c>
      <c r="F177" s="66">
        <v>240</v>
      </c>
      <c r="G177" s="66"/>
      <c r="H177" s="66">
        <f>H178</f>
        <v>19.3</v>
      </c>
      <c r="I177" s="61"/>
      <c r="J177" s="61"/>
      <c r="K177" s="62">
        <f t="shared" si="2"/>
        <v>0</v>
      </c>
    </row>
    <row r="178" spans="1:11" ht="45" hidden="1">
      <c r="A178" s="63"/>
      <c r="B178" s="59" t="s">
        <v>195</v>
      </c>
      <c r="C178" s="85">
        <f t="shared" si="3"/>
        <v>966</v>
      </c>
      <c r="D178" s="63" t="s">
        <v>82</v>
      </c>
      <c r="E178" s="66" t="s">
        <v>178</v>
      </c>
      <c r="F178" s="66">
        <v>244</v>
      </c>
      <c r="G178" s="66"/>
      <c r="H178" s="66">
        <f>H179</f>
        <v>19.3</v>
      </c>
      <c r="I178" s="61"/>
      <c r="J178" s="61"/>
      <c r="K178" s="62">
        <f t="shared" si="2"/>
        <v>0</v>
      </c>
    </row>
    <row r="179" spans="1:11" ht="22.5" hidden="1">
      <c r="A179" s="63"/>
      <c r="B179" s="59" t="s">
        <v>213</v>
      </c>
      <c r="C179" s="85">
        <f t="shared" si="3"/>
        <v>966</v>
      </c>
      <c r="D179" s="63" t="s">
        <v>82</v>
      </c>
      <c r="E179" s="66" t="s">
        <v>178</v>
      </c>
      <c r="F179" s="66">
        <v>244</v>
      </c>
      <c r="G179" s="66">
        <v>340</v>
      </c>
      <c r="H179" s="66">
        <f>25-5.7</f>
        <v>19.3</v>
      </c>
      <c r="I179" s="61"/>
      <c r="J179" s="61">
        <v>1</v>
      </c>
      <c r="K179" s="62">
        <f t="shared" si="2"/>
        <v>2.8985502365050182E-08</v>
      </c>
    </row>
    <row r="180" spans="1:11" ht="45" hidden="1">
      <c r="A180" s="63" t="s">
        <v>449</v>
      </c>
      <c r="B180" s="59" t="s">
        <v>250</v>
      </c>
      <c r="C180" s="85">
        <f t="shared" si="3"/>
        <v>966</v>
      </c>
      <c r="D180" s="63" t="s">
        <v>82</v>
      </c>
      <c r="E180" s="66" t="s">
        <v>245</v>
      </c>
      <c r="F180" s="66"/>
      <c r="G180" s="182"/>
      <c r="H180" s="66" t="e">
        <f>H181</f>
        <v>#REF!</v>
      </c>
      <c r="I180" s="61"/>
      <c r="J180" s="61">
        <f>J181</f>
        <v>1385.9</v>
      </c>
      <c r="K180" s="62">
        <f t="shared" si="2"/>
        <v>4.1996968767945844E-05</v>
      </c>
    </row>
    <row r="181" spans="1:11" ht="78.75" hidden="1">
      <c r="A181" s="63" t="s">
        <v>450</v>
      </c>
      <c r="B181" s="59" t="s">
        <v>104</v>
      </c>
      <c r="C181" s="85">
        <f t="shared" si="3"/>
        <v>966</v>
      </c>
      <c r="D181" s="63" t="s">
        <v>82</v>
      </c>
      <c r="E181" s="66" t="s">
        <v>245</v>
      </c>
      <c r="F181" s="66">
        <v>100</v>
      </c>
      <c r="G181" s="182"/>
      <c r="H181" s="66" t="e">
        <f>#REF!</f>
        <v>#REF!</v>
      </c>
      <c r="I181" s="61"/>
      <c r="J181" s="61">
        <v>1385.9</v>
      </c>
      <c r="K181" s="62">
        <f t="shared" si="2"/>
        <v>4.1996968767945844E-05</v>
      </c>
    </row>
    <row r="182" spans="1:11" ht="33.75" hidden="1">
      <c r="A182" s="63"/>
      <c r="B182" s="59" t="s">
        <v>247</v>
      </c>
      <c r="C182" s="85">
        <f t="shared" si="3"/>
        <v>966</v>
      </c>
      <c r="D182" s="63" t="s">
        <v>82</v>
      </c>
      <c r="E182" s="66" t="s">
        <v>245</v>
      </c>
      <c r="F182" s="66">
        <v>110</v>
      </c>
      <c r="G182" s="182"/>
      <c r="H182" s="66">
        <f>H183+H185</f>
        <v>1356.2</v>
      </c>
      <c r="I182" s="61"/>
      <c r="J182" s="61"/>
      <c r="K182" s="62">
        <f t="shared" si="2"/>
        <v>0</v>
      </c>
    </row>
    <row r="183" spans="1:11" ht="22.5" hidden="1">
      <c r="A183" s="63"/>
      <c r="B183" s="59" t="s">
        <v>244</v>
      </c>
      <c r="C183" s="85">
        <f t="shared" si="3"/>
        <v>966</v>
      </c>
      <c r="D183" s="63" t="s">
        <v>82</v>
      </c>
      <c r="E183" s="66" t="s">
        <v>245</v>
      </c>
      <c r="F183" s="66">
        <v>111</v>
      </c>
      <c r="G183" s="66"/>
      <c r="H183" s="66">
        <f>H184</f>
        <v>1062.2</v>
      </c>
      <c r="I183" s="61"/>
      <c r="J183" s="61"/>
      <c r="K183" s="62">
        <f t="shared" si="2"/>
        <v>0</v>
      </c>
    </row>
    <row r="184" spans="1:11" ht="12.75" hidden="1">
      <c r="A184" s="63"/>
      <c r="B184" s="59" t="s">
        <v>202</v>
      </c>
      <c r="C184" s="85">
        <f t="shared" si="3"/>
        <v>966</v>
      </c>
      <c r="D184" s="63" t="s">
        <v>82</v>
      </c>
      <c r="E184" s="66" t="s">
        <v>245</v>
      </c>
      <c r="F184" s="66">
        <v>111</v>
      </c>
      <c r="G184" s="66">
        <v>211</v>
      </c>
      <c r="H184" s="66">
        <f>1143.3-81.1</f>
        <v>1062.2</v>
      </c>
      <c r="I184" s="61"/>
      <c r="J184" s="61"/>
      <c r="K184" s="62">
        <f aca="true" t="shared" si="4" ref="K184:K247">J184/E184*100</f>
        <v>0</v>
      </c>
    </row>
    <row r="185" spans="1:11" ht="67.5" hidden="1">
      <c r="A185" s="63"/>
      <c r="B185" s="59" t="s">
        <v>248</v>
      </c>
      <c r="C185" s="85">
        <f t="shared" si="3"/>
        <v>966</v>
      </c>
      <c r="D185" s="63" t="s">
        <v>82</v>
      </c>
      <c r="E185" s="66" t="s">
        <v>245</v>
      </c>
      <c r="F185" s="66">
        <v>119</v>
      </c>
      <c r="G185" s="66"/>
      <c r="H185" s="66">
        <f>H186</f>
        <v>294</v>
      </c>
      <c r="I185" s="61"/>
      <c r="J185" s="61"/>
      <c r="K185" s="62">
        <f t="shared" si="4"/>
        <v>0</v>
      </c>
    </row>
    <row r="186" spans="1:11" ht="22.5" hidden="1">
      <c r="A186" s="63"/>
      <c r="B186" s="59" t="s">
        <v>203</v>
      </c>
      <c r="C186" s="85">
        <f t="shared" si="3"/>
        <v>966</v>
      </c>
      <c r="D186" s="63" t="s">
        <v>82</v>
      </c>
      <c r="E186" s="66" t="s">
        <v>245</v>
      </c>
      <c r="F186" s="66">
        <v>119</v>
      </c>
      <c r="G186" s="66">
        <v>213</v>
      </c>
      <c r="H186" s="66">
        <f>343-49</f>
        <v>294</v>
      </c>
      <c r="I186" s="61"/>
      <c r="J186" s="61"/>
      <c r="K186" s="62">
        <f t="shared" si="4"/>
        <v>0</v>
      </c>
    </row>
    <row r="187" spans="1:11" ht="22.5">
      <c r="A187" s="63" t="s">
        <v>30</v>
      </c>
      <c r="B187" s="59" t="s">
        <v>13</v>
      </c>
      <c r="C187" s="63" t="s">
        <v>470</v>
      </c>
      <c r="D187" s="63" t="s">
        <v>460</v>
      </c>
      <c r="E187" s="101">
        <v>3597.4</v>
      </c>
      <c r="F187" s="183"/>
      <c r="G187" s="183"/>
      <c r="H187" s="184"/>
      <c r="I187" s="61"/>
      <c r="J187" s="61">
        <f>'Прил 2'!J75</f>
        <v>3597.2000000000003</v>
      </c>
      <c r="K187" s="62">
        <f t="shared" si="4"/>
        <v>99.99444042919887</v>
      </c>
    </row>
    <row r="188" spans="1:11" ht="21.75" customHeight="1">
      <c r="A188" s="63" t="s">
        <v>42</v>
      </c>
      <c r="B188" s="59" t="s">
        <v>43</v>
      </c>
      <c r="C188" s="185" t="str">
        <f>D22</f>
        <v>03</v>
      </c>
      <c r="D188" s="63" t="s">
        <v>456</v>
      </c>
      <c r="E188" s="239">
        <f>E189</f>
        <v>0</v>
      </c>
      <c r="F188" s="240"/>
      <c r="G188" s="240"/>
      <c r="H188" s="241"/>
      <c r="I188" s="61"/>
      <c r="J188" s="62">
        <f>J189</f>
        <v>0</v>
      </c>
      <c r="K188" s="62" t="s">
        <v>434</v>
      </c>
    </row>
    <row r="189" spans="1:11" ht="49.5" customHeight="1">
      <c r="A189" s="63" t="s">
        <v>44</v>
      </c>
      <c r="B189" s="59" t="s">
        <v>45</v>
      </c>
      <c r="C189" s="69" t="str">
        <f>C188</f>
        <v>03</v>
      </c>
      <c r="D189" s="63" t="s">
        <v>469</v>
      </c>
      <c r="E189" s="234">
        <v>0</v>
      </c>
      <c r="F189" s="235"/>
      <c r="G189" s="235"/>
      <c r="H189" s="236"/>
      <c r="I189" s="61"/>
      <c r="J189" s="62">
        <f>'Прил 2'!J111</f>
        <v>0</v>
      </c>
      <c r="K189" s="62" t="s">
        <v>434</v>
      </c>
    </row>
    <row r="190" spans="1:11" ht="135" hidden="1">
      <c r="A190" s="63" t="s">
        <v>159</v>
      </c>
      <c r="B190" s="59" t="s">
        <v>160</v>
      </c>
      <c r="C190" s="59">
        <v>966</v>
      </c>
      <c r="D190" s="63" t="s">
        <v>86</v>
      </c>
      <c r="E190" s="63" t="s">
        <v>179</v>
      </c>
      <c r="F190" s="59"/>
      <c r="G190" s="59"/>
      <c r="H190" s="64" t="e">
        <f>H191</f>
        <v>#REF!</v>
      </c>
      <c r="I190" s="61"/>
      <c r="J190" s="62" t="e">
        <f>J191</f>
        <v>#REF!</v>
      </c>
      <c r="K190" s="62" t="e">
        <f t="shared" si="4"/>
        <v>#REF!</v>
      </c>
    </row>
    <row r="191" spans="1:11" ht="33.75" hidden="1">
      <c r="A191" s="63" t="s">
        <v>161</v>
      </c>
      <c r="B191" s="59" t="s">
        <v>24</v>
      </c>
      <c r="C191" s="59">
        <v>966</v>
      </c>
      <c r="D191" s="63" t="s">
        <v>86</v>
      </c>
      <c r="E191" s="63" t="s">
        <v>179</v>
      </c>
      <c r="F191" s="59">
        <v>200</v>
      </c>
      <c r="G191" s="59"/>
      <c r="H191" s="64" t="e">
        <f>#REF!</f>
        <v>#REF!</v>
      </c>
      <c r="I191" s="61"/>
      <c r="J191" s="62" t="e">
        <f>H191</f>
        <v>#REF!</v>
      </c>
      <c r="K191" s="62" t="e">
        <f t="shared" si="4"/>
        <v>#REF!</v>
      </c>
    </row>
    <row r="192" spans="1:11" ht="33.75" hidden="1">
      <c r="A192" s="63"/>
      <c r="B192" s="59" t="s">
        <v>107</v>
      </c>
      <c r="C192" s="59">
        <v>966</v>
      </c>
      <c r="D192" s="63" t="s">
        <v>86</v>
      </c>
      <c r="E192" s="63" t="s">
        <v>179</v>
      </c>
      <c r="F192" s="59">
        <v>240</v>
      </c>
      <c r="G192" s="59"/>
      <c r="H192" s="64">
        <f>H193</f>
        <v>80</v>
      </c>
      <c r="I192" s="61"/>
      <c r="J192" s="61"/>
      <c r="K192" s="62">
        <f t="shared" si="4"/>
        <v>0</v>
      </c>
    </row>
    <row r="193" spans="1:11" ht="45" hidden="1">
      <c r="A193" s="63"/>
      <c r="B193" s="59" t="s">
        <v>195</v>
      </c>
      <c r="C193" s="59">
        <v>966</v>
      </c>
      <c r="D193" s="63" t="s">
        <v>86</v>
      </c>
      <c r="E193" s="63" t="s">
        <v>179</v>
      </c>
      <c r="F193" s="59">
        <v>244</v>
      </c>
      <c r="G193" s="59"/>
      <c r="H193" s="64">
        <f>H194+H195</f>
        <v>80</v>
      </c>
      <c r="I193" s="61"/>
      <c r="J193" s="61"/>
      <c r="K193" s="62">
        <f t="shared" si="4"/>
        <v>0</v>
      </c>
    </row>
    <row r="194" spans="1:11" ht="12.75" hidden="1">
      <c r="A194" s="63"/>
      <c r="B194" s="59" t="s">
        <v>204</v>
      </c>
      <c r="C194" s="59">
        <v>966</v>
      </c>
      <c r="D194" s="63" t="s">
        <v>86</v>
      </c>
      <c r="E194" s="63" t="s">
        <v>179</v>
      </c>
      <c r="F194" s="59">
        <v>244</v>
      </c>
      <c r="G194" s="59">
        <v>226</v>
      </c>
      <c r="H194" s="64">
        <f>80-40</f>
        <v>40</v>
      </c>
      <c r="I194" s="61"/>
      <c r="J194" s="61"/>
      <c r="K194" s="62">
        <f t="shared" si="4"/>
        <v>0</v>
      </c>
    </row>
    <row r="195" spans="1:11" ht="22.5" hidden="1">
      <c r="A195" s="63"/>
      <c r="B195" s="59" t="s">
        <v>214</v>
      </c>
      <c r="C195" s="59">
        <v>966</v>
      </c>
      <c r="D195" s="63" t="s">
        <v>86</v>
      </c>
      <c r="E195" s="63" t="s">
        <v>179</v>
      </c>
      <c r="F195" s="59">
        <v>244</v>
      </c>
      <c r="G195" s="59">
        <v>310</v>
      </c>
      <c r="H195" s="64">
        <v>40</v>
      </c>
      <c r="I195" s="61"/>
      <c r="J195" s="61"/>
      <c r="K195" s="62">
        <f t="shared" si="4"/>
        <v>0</v>
      </c>
    </row>
    <row r="196" spans="1:11" ht="90" hidden="1">
      <c r="A196" s="63" t="s">
        <v>46</v>
      </c>
      <c r="B196" s="59" t="s">
        <v>111</v>
      </c>
      <c r="C196" s="59">
        <v>966</v>
      </c>
      <c r="D196" s="63" t="s">
        <v>86</v>
      </c>
      <c r="E196" s="63" t="s">
        <v>180</v>
      </c>
      <c r="F196" s="59"/>
      <c r="G196" s="59"/>
      <c r="H196" s="64" t="e">
        <f>H197</f>
        <v>#REF!</v>
      </c>
      <c r="I196" s="61"/>
      <c r="J196" s="62" t="e">
        <f>J197</f>
        <v>#REF!</v>
      </c>
      <c r="K196" s="62" t="e">
        <f t="shared" si="4"/>
        <v>#REF!</v>
      </c>
    </row>
    <row r="197" spans="1:11" ht="33.75" hidden="1">
      <c r="A197" s="63" t="s">
        <v>47</v>
      </c>
      <c r="B197" s="59" t="s">
        <v>24</v>
      </c>
      <c r="C197" s="59">
        <v>966</v>
      </c>
      <c r="D197" s="63" t="s">
        <v>86</v>
      </c>
      <c r="E197" s="63" t="s">
        <v>180</v>
      </c>
      <c r="F197" s="59">
        <v>200</v>
      </c>
      <c r="G197" s="59"/>
      <c r="H197" s="64" t="e">
        <f>#REF!</f>
        <v>#REF!</v>
      </c>
      <c r="I197" s="61"/>
      <c r="J197" s="62" t="e">
        <f>H197</f>
        <v>#REF!</v>
      </c>
      <c r="K197" s="62" t="e">
        <f t="shared" si="4"/>
        <v>#REF!</v>
      </c>
    </row>
    <row r="198" spans="1:11" ht="33.75" hidden="1">
      <c r="A198" s="63"/>
      <c r="B198" s="59" t="s">
        <v>107</v>
      </c>
      <c r="C198" s="59">
        <v>966</v>
      </c>
      <c r="D198" s="63" t="s">
        <v>86</v>
      </c>
      <c r="E198" s="63" t="s">
        <v>180</v>
      </c>
      <c r="F198" s="59">
        <v>240</v>
      </c>
      <c r="G198" s="59"/>
      <c r="H198" s="64">
        <f>H199</f>
        <v>960</v>
      </c>
      <c r="I198" s="61"/>
      <c r="J198" s="61"/>
      <c r="K198" s="62">
        <f t="shared" si="4"/>
        <v>0</v>
      </c>
    </row>
    <row r="199" spans="1:11" ht="45" hidden="1">
      <c r="A199" s="63"/>
      <c r="B199" s="59" t="s">
        <v>195</v>
      </c>
      <c r="C199" s="59">
        <v>966</v>
      </c>
      <c r="D199" s="63" t="s">
        <v>86</v>
      </c>
      <c r="E199" s="63" t="s">
        <v>180</v>
      </c>
      <c r="F199" s="59">
        <v>244</v>
      </c>
      <c r="G199" s="59"/>
      <c r="H199" s="64">
        <f>SUM(H200:H201)</f>
        <v>960</v>
      </c>
      <c r="I199" s="61"/>
      <c r="J199" s="61"/>
      <c r="K199" s="62">
        <f t="shared" si="4"/>
        <v>0</v>
      </c>
    </row>
    <row r="200" spans="1:11" ht="22.5" hidden="1">
      <c r="A200" s="63"/>
      <c r="B200" s="59" t="s">
        <v>237</v>
      </c>
      <c r="C200" s="59">
        <v>966</v>
      </c>
      <c r="D200" s="63" t="s">
        <v>86</v>
      </c>
      <c r="E200" s="63" t="s">
        <v>180</v>
      </c>
      <c r="F200" s="59">
        <v>244</v>
      </c>
      <c r="G200" s="59">
        <v>224</v>
      </c>
      <c r="H200" s="64">
        <v>900</v>
      </c>
      <c r="I200" s="61"/>
      <c r="J200" s="61"/>
      <c r="K200" s="62">
        <f t="shared" si="4"/>
        <v>0</v>
      </c>
    </row>
    <row r="201" spans="1:11" ht="12.75" hidden="1">
      <c r="A201" s="63"/>
      <c r="B201" s="59" t="s">
        <v>204</v>
      </c>
      <c r="C201" s="59">
        <v>966</v>
      </c>
      <c r="D201" s="63" t="s">
        <v>86</v>
      </c>
      <c r="E201" s="63" t="s">
        <v>180</v>
      </c>
      <c r="F201" s="59">
        <v>244</v>
      </c>
      <c r="G201" s="59">
        <v>226</v>
      </c>
      <c r="H201" s="64">
        <f>327.5-267.5</f>
        <v>60</v>
      </c>
      <c r="I201" s="61"/>
      <c r="J201" s="61"/>
      <c r="K201" s="62">
        <f t="shared" si="4"/>
        <v>0</v>
      </c>
    </row>
    <row r="202" spans="1:11" ht="16.5" customHeight="1">
      <c r="A202" s="63" t="s">
        <v>131</v>
      </c>
      <c r="B202" s="59" t="s">
        <v>48</v>
      </c>
      <c r="C202" s="63" t="s">
        <v>465</v>
      </c>
      <c r="D202" s="63" t="s">
        <v>456</v>
      </c>
      <c r="E202" s="234">
        <f>E203</f>
        <v>70039.8</v>
      </c>
      <c r="F202" s="235"/>
      <c r="G202" s="235"/>
      <c r="H202" s="236"/>
      <c r="I202" s="61"/>
      <c r="J202" s="62">
        <f>J203</f>
        <v>62447.5</v>
      </c>
      <c r="K202" s="62">
        <f t="shared" si="4"/>
        <v>89.16002044551811</v>
      </c>
    </row>
    <row r="203" spans="1:11" ht="12.75">
      <c r="A203" s="63" t="s">
        <v>133</v>
      </c>
      <c r="B203" s="59" t="s">
        <v>49</v>
      </c>
      <c r="C203" s="63" t="s">
        <v>465</v>
      </c>
      <c r="D203" s="63" t="s">
        <v>458</v>
      </c>
      <c r="E203" s="234">
        <v>70039.8</v>
      </c>
      <c r="F203" s="235"/>
      <c r="G203" s="235"/>
      <c r="H203" s="236"/>
      <c r="I203" s="61"/>
      <c r="J203" s="62">
        <f>'Прил 2'!J115</f>
        <v>62447.5</v>
      </c>
      <c r="K203" s="62">
        <f t="shared" si="4"/>
        <v>89.16002044551811</v>
      </c>
    </row>
    <row r="204" spans="1:11" ht="67.5" hidden="1">
      <c r="A204" s="63" t="s">
        <v>134</v>
      </c>
      <c r="B204" s="59" t="s">
        <v>127</v>
      </c>
      <c r="C204" s="63">
        <v>966</v>
      </c>
      <c r="D204" s="63" t="s">
        <v>88</v>
      </c>
      <c r="E204" s="63" t="s">
        <v>181</v>
      </c>
      <c r="F204" s="59"/>
      <c r="G204" s="59"/>
      <c r="H204" s="64" t="e">
        <f>H205</f>
        <v>#REF!</v>
      </c>
      <c r="I204" s="61"/>
      <c r="J204" s="61">
        <f>J205</f>
        <v>322.9</v>
      </c>
      <c r="K204" s="62">
        <f t="shared" si="4"/>
        <v>5.381666549166947E-06</v>
      </c>
    </row>
    <row r="205" spans="1:11" ht="33.75" hidden="1">
      <c r="A205" s="63" t="s">
        <v>135</v>
      </c>
      <c r="B205" s="59" t="s">
        <v>24</v>
      </c>
      <c r="C205" s="63">
        <v>966</v>
      </c>
      <c r="D205" s="63" t="s">
        <v>88</v>
      </c>
      <c r="E205" s="63" t="s">
        <v>181</v>
      </c>
      <c r="F205" s="59">
        <v>200</v>
      </c>
      <c r="G205" s="59"/>
      <c r="H205" s="64" t="e">
        <f>#REF!</f>
        <v>#REF!</v>
      </c>
      <c r="I205" s="61"/>
      <c r="J205" s="61">
        <v>322.9</v>
      </c>
      <c r="K205" s="62">
        <f t="shared" si="4"/>
        <v>5.381666549166947E-06</v>
      </c>
    </row>
    <row r="206" spans="1:11" ht="33.75" hidden="1">
      <c r="A206" s="63"/>
      <c r="B206" s="59" t="s">
        <v>107</v>
      </c>
      <c r="C206" s="63">
        <v>966</v>
      </c>
      <c r="D206" s="63" t="s">
        <v>88</v>
      </c>
      <c r="E206" s="63" t="s">
        <v>181</v>
      </c>
      <c r="F206" s="59">
        <v>240</v>
      </c>
      <c r="G206" s="59"/>
      <c r="H206" s="64">
        <f>H207</f>
        <v>8162.599999999999</v>
      </c>
      <c r="I206" s="61"/>
      <c r="J206" s="61"/>
      <c r="K206" s="62">
        <f t="shared" si="4"/>
        <v>0</v>
      </c>
    </row>
    <row r="207" spans="1:11" ht="45" hidden="1">
      <c r="A207" s="63"/>
      <c r="B207" s="59" t="s">
        <v>195</v>
      </c>
      <c r="C207" s="63">
        <v>966</v>
      </c>
      <c r="D207" s="63" t="s">
        <v>88</v>
      </c>
      <c r="E207" s="63" t="s">
        <v>181</v>
      </c>
      <c r="F207" s="59">
        <v>244</v>
      </c>
      <c r="G207" s="70"/>
      <c r="H207" s="65">
        <f>H208+H209</f>
        <v>8162.599999999999</v>
      </c>
      <c r="I207" s="61"/>
      <c r="J207" s="61"/>
      <c r="K207" s="62">
        <f t="shared" si="4"/>
        <v>0</v>
      </c>
    </row>
    <row r="208" spans="1:11" ht="12.75" hidden="1">
      <c r="A208" s="63"/>
      <c r="B208" s="59" t="s">
        <v>204</v>
      </c>
      <c r="C208" s="63">
        <v>966</v>
      </c>
      <c r="D208" s="63" t="s">
        <v>88</v>
      </c>
      <c r="E208" s="63" t="s">
        <v>181</v>
      </c>
      <c r="F208" s="59">
        <v>244</v>
      </c>
      <c r="G208" s="70">
        <v>226</v>
      </c>
      <c r="H208" s="65">
        <f>9793.9-626.1-100-137.9-500-367.3</f>
        <v>8062.599999999999</v>
      </c>
      <c r="I208" s="61" t="s">
        <v>241</v>
      </c>
      <c r="J208" s="61"/>
      <c r="K208" s="62">
        <f t="shared" si="4"/>
        <v>0</v>
      </c>
    </row>
    <row r="209" spans="1:11" ht="22.5" hidden="1">
      <c r="A209" s="63"/>
      <c r="B209" s="59" t="s">
        <v>214</v>
      </c>
      <c r="C209" s="63">
        <v>966</v>
      </c>
      <c r="D209" s="63" t="s">
        <v>88</v>
      </c>
      <c r="E209" s="63" t="s">
        <v>181</v>
      </c>
      <c r="F209" s="59">
        <v>244</v>
      </c>
      <c r="G209" s="70">
        <v>310</v>
      </c>
      <c r="H209" s="65">
        <v>100</v>
      </c>
      <c r="I209" s="61"/>
      <c r="J209" s="61"/>
      <c r="K209" s="62">
        <f t="shared" si="4"/>
        <v>0</v>
      </c>
    </row>
    <row r="210" spans="1:11" ht="56.25" hidden="1">
      <c r="A210" s="63" t="s">
        <v>136</v>
      </c>
      <c r="B210" s="59" t="s">
        <v>128</v>
      </c>
      <c r="C210" s="63">
        <v>966</v>
      </c>
      <c r="D210" s="63" t="s">
        <v>88</v>
      </c>
      <c r="E210" s="63" t="s">
        <v>182</v>
      </c>
      <c r="F210" s="59"/>
      <c r="G210" s="59"/>
      <c r="H210" s="64" t="e">
        <f>H211</f>
        <v>#REF!</v>
      </c>
      <c r="I210" s="61"/>
      <c r="J210" s="61">
        <f>J211</f>
        <v>1908.9</v>
      </c>
      <c r="K210" s="62">
        <f t="shared" si="4"/>
        <v>3.181499919932252E-05</v>
      </c>
    </row>
    <row r="211" spans="1:11" ht="33.75" hidden="1">
      <c r="A211" s="63" t="s">
        <v>137</v>
      </c>
      <c r="B211" s="59" t="s">
        <v>24</v>
      </c>
      <c r="C211" s="63">
        <v>966</v>
      </c>
      <c r="D211" s="63" t="s">
        <v>88</v>
      </c>
      <c r="E211" s="63" t="s">
        <v>182</v>
      </c>
      <c r="F211" s="59">
        <v>200</v>
      </c>
      <c r="G211" s="59"/>
      <c r="H211" s="64" t="e">
        <f>#REF!</f>
        <v>#REF!</v>
      </c>
      <c r="I211" s="61"/>
      <c r="J211" s="61">
        <v>1908.9</v>
      </c>
      <c r="K211" s="62">
        <f t="shared" si="4"/>
        <v>3.181499919932252E-05</v>
      </c>
    </row>
    <row r="212" spans="1:11" ht="33.75" hidden="1">
      <c r="A212" s="63"/>
      <c r="B212" s="59" t="s">
        <v>107</v>
      </c>
      <c r="C212" s="63">
        <v>966</v>
      </c>
      <c r="D212" s="63" t="s">
        <v>88</v>
      </c>
      <c r="E212" s="63" t="s">
        <v>182</v>
      </c>
      <c r="F212" s="59">
        <v>240</v>
      </c>
      <c r="G212" s="59"/>
      <c r="H212" s="64">
        <f>H213</f>
        <v>2051.0000000000014</v>
      </c>
      <c r="I212" s="61"/>
      <c r="J212" s="61"/>
      <c r="K212" s="62">
        <f t="shared" si="4"/>
        <v>0</v>
      </c>
    </row>
    <row r="213" spans="1:11" ht="45" hidden="1">
      <c r="A213" s="63"/>
      <c r="B213" s="59" t="s">
        <v>195</v>
      </c>
      <c r="C213" s="63">
        <v>966</v>
      </c>
      <c r="D213" s="63" t="s">
        <v>88</v>
      </c>
      <c r="E213" s="63" t="s">
        <v>182</v>
      </c>
      <c r="F213" s="59">
        <v>244</v>
      </c>
      <c r="G213" s="59"/>
      <c r="H213" s="64">
        <f>H214+H215+H216</f>
        <v>2051.0000000000014</v>
      </c>
      <c r="I213" s="61"/>
      <c r="J213" s="61"/>
      <c r="K213" s="62">
        <f t="shared" si="4"/>
        <v>0</v>
      </c>
    </row>
    <row r="214" spans="1:11" ht="12.75" hidden="1">
      <c r="A214" s="63"/>
      <c r="B214" s="59" t="s">
        <v>204</v>
      </c>
      <c r="C214" s="63">
        <v>966</v>
      </c>
      <c r="D214" s="63" t="s">
        <v>88</v>
      </c>
      <c r="E214" s="63" t="s">
        <v>182</v>
      </c>
      <c r="F214" s="59">
        <v>244</v>
      </c>
      <c r="G214" s="59">
        <v>226</v>
      </c>
      <c r="H214" s="64">
        <f>7466.8-980-635.4-1601.6-85.2-600-500-1698.8</f>
        <v>1365.8000000000013</v>
      </c>
      <c r="I214" s="61" t="s">
        <v>241</v>
      </c>
      <c r="J214" s="61"/>
      <c r="K214" s="62">
        <f t="shared" si="4"/>
        <v>0</v>
      </c>
    </row>
    <row r="215" spans="1:11" ht="12.75" hidden="1">
      <c r="A215" s="63"/>
      <c r="B215" s="59" t="s">
        <v>199</v>
      </c>
      <c r="C215" s="63">
        <v>966</v>
      </c>
      <c r="D215" s="63" t="s">
        <v>88</v>
      </c>
      <c r="E215" s="63" t="s">
        <v>182</v>
      </c>
      <c r="F215" s="59">
        <v>244</v>
      </c>
      <c r="G215" s="59">
        <v>290</v>
      </c>
      <c r="H215" s="64">
        <v>85.2</v>
      </c>
      <c r="I215" s="61"/>
      <c r="J215" s="61"/>
      <c r="K215" s="62">
        <f t="shared" si="4"/>
        <v>0</v>
      </c>
    </row>
    <row r="216" spans="1:11" ht="22.5" hidden="1">
      <c r="A216" s="63"/>
      <c r="B216" s="59" t="s">
        <v>213</v>
      </c>
      <c r="C216" s="63">
        <v>966</v>
      </c>
      <c r="D216" s="63" t="s">
        <v>88</v>
      </c>
      <c r="E216" s="63" t="s">
        <v>182</v>
      </c>
      <c r="F216" s="59">
        <v>244</v>
      </c>
      <c r="G216" s="59">
        <v>340</v>
      </c>
      <c r="H216" s="64">
        <v>600</v>
      </c>
      <c r="I216" s="61"/>
      <c r="J216" s="61"/>
      <c r="K216" s="62">
        <f t="shared" si="4"/>
        <v>0</v>
      </c>
    </row>
    <row r="217" spans="1:11" ht="56.25" hidden="1">
      <c r="A217" s="63" t="s">
        <v>138</v>
      </c>
      <c r="B217" s="59" t="s">
        <v>129</v>
      </c>
      <c r="C217" s="63">
        <v>966</v>
      </c>
      <c r="D217" s="63" t="s">
        <v>88</v>
      </c>
      <c r="E217" s="63" t="s">
        <v>183</v>
      </c>
      <c r="F217" s="59"/>
      <c r="G217" s="59"/>
      <c r="H217" s="64" t="e">
        <f>H218</f>
        <v>#REF!</v>
      </c>
      <c r="I217" s="61"/>
      <c r="J217" s="62">
        <f>J218</f>
        <v>8627.7</v>
      </c>
      <c r="K217" s="62">
        <f t="shared" si="4"/>
        <v>0.00014379499614150095</v>
      </c>
    </row>
    <row r="218" spans="1:11" ht="33.75" hidden="1">
      <c r="A218" s="63" t="s">
        <v>139</v>
      </c>
      <c r="B218" s="59" t="s">
        <v>24</v>
      </c>
      <c r="C218" s="63">
        <v>966</v>
      </c>
      <c r="D218" s="63" t="s">
        <v>88</v>
      </c>
      <c r="E218" s="63" t="s">
        <v>183</v>
      </c>
      <c r="F218" s="59">
        <v>200</v>
      </c>
      <c r="G218" s="59"/>
      <c r="H218" s="64" t="e">
        <f>#REF!</f>
        <v>#REF!</v>
      </c>
      <c r="I218" s="61"/>
      <c r="J218" s="62">
        <f>J219</f>
        <v>8627.7</v>
      </c>
      <c r="K218" s="62">
        <f t="shared" si="4"/>
        <v>0.00014379499614150095</v>
      </c>
    </row>
    <row r="219" spans="1:11" ht="33.75" hidden="1">
      <c r="A219" s="63"/>
      <c r="B219" s="59" t="s">
        <v>107</v>
      </c>
      <c r="C219" s="63">
        <v>966</v>
      </c>
      <c r="D219" s="63" t="s">
        <v>88</v>
      </c>
      <c r="E219" s="63" t="s">
        <v>183</v>
      </c>
      <c r="F219" s="59">
        <v>240</v>
      </c>
      <c r="G219" s="59"/>
      <c r="H219" s="64">
        <v>8627.7</v>
      </c>
      <c r="I219" s="61"/>
      <c r="J219" s="62">
        <f>H219</f>
        <v>8627.7</v>
      </c>
      <c r="K219" s="62">
        <f t="shared" si="4"/>
        <v>0.00014379499614150095</v>
      </c>
    </row>
    <row r="220" spans="1:11" ht="45" hidden="1">
      <c r="A220" s="63"/>
      <c r="B220" s="59" t="s">
        <v>195</v>
      </c>
      <c r="C220" s="63">
        <v>966</v>
      </c>
      <c r="D220" s="63" t="s">
        <v>88</v>
      </c>
      <c r="E220" s="63" t="s">
        <v>183</v>
      </c>
      <c r="F220" s="59">
        <v>244</v>
      </c>
      <c r="G220" s="59"/>
      <c r="H220" s="64">
        <f>H221+H222</f>
        <v>8117.5</v>
      </c>
      <c r="I220" s="61"/>
      <c r="J220" s="61"/>
      <c r="K220" s="62">
        <f t="shared" si="4"/>
        <v>0</v>
      </c>
    </row>
    <row r="221" spans="1:11" ht="12.75" hidden="1">
      <c r="A221" s="63"/>
      <c r="B221" s="59" t="s">
        <v>204</v>
      </c>
      <c r="C221" s="63">
        <v>966</v>
      </c>
      <c r="D221" s="63" t="s">
        <v>88</v>
      </c>
      <c r="E221" s="63" t="s">
        <v>183</v>
      </c>
      <c r="F221" s="59">
        <v>244</v>
      </c>
      <c r="G221" s="59">
        <v>226</v>
      </c>
      <c r="H221" s="64">
        <f>22603.4-4561.2-2157.6-3758.6-700-1729+2420-135.4-131.5-3999.5-86.5</f>
        <v>7764.1</v>
      </c>
      <c r="I221" s="61" t="s">
        <v>241</v>
      </c>
      <c r="J221" s="61"/>
      <c r="K221" s="62">
        <f t="shared" si="4"/>
        <v>0</v>
      </c>
    </row>
    <row r="222" spans="1:11" ht="22.5" hidden="1">
      <c r="A222" s="63"/>
      <c r="B222" s="59" t="s">
        <v>214</v>
      </c>
      <c r="C222" s="63">
        <v>966</v>
      </c>
      <c r="D222" s="63" t="s">
        <v>88</v>
      </c>
      <c r="E222" s="63" t="s">
        <v>183</v>
      </c>
      <c r="F222" s="59">
        <v>244</v>
      </c>
      <c r="G222" s="59">
        <v>310</v>
      </c>
      <c r="H222" s="64">
        <f>135.4+131.5+86.5</f>
        <v>353.4</v>
      </c>
      <c r="I222" s="61"/>
      <c r="J222" s="61"/>
      <c r="K222" s="62">
        <f t="shared" si="4"/>
        <v>0</v>
      </c>
    </row>
    <row r="223" spans="1:11" ht="45" hidden="1">
      <c r="A223" s="63" t="s">
        <v>140</v>
      </c>
      <c r="B223" s="59" t="s">
        <v>234</v>
      </c>
      <c r="C223" s="63">
        <v>966</v>
      </c>
      <c r="D223" s="63" t="s">
        <v>88</v>
      </c>
      <c r="E223" s="63" t="s">
        <v>227</v>
      </c>
      <c r="F223" s="59"/>
      <c r="G223" s="59"/>
      <c r="H223" s="64" t="e">
        <f>H224</f>
        <v>#REF!</v>
      </c>
      <c r="I223" s="61"/>
      <c r="J223" s="61">
        <f>J224</f>
        <v>9826.7</v>
      </c>
      <c r="K223" s="62" t="e">
        <f t="shared" si="4"/>
        <v>#VALUE!</v>
      </c>
    </row>
    <row r="224" spans="1:11" ht="33.75" hidden="1">
      <c r="A224" s="63" t="s">
        <v>141</v>
      </c>
      <c r="B224" s="59" t="s">
        <v>24</v>
      </c>
      <c r="C224" s="63">
        <v>966</v>
      </c>
      <c r="D224" s="63" t="s">
        <v>88</v>
      </c>
      <c r="E224" s="63" t="s">
        <v>227</v>
      </c>
      <c r="F224" s="59">
        <v>200</v>
      </c>
      <c r="G224" s="59"/>
      <c r="H224" s="64" t="e">
        <f>#REF!</f>
        <v>#REF!</v>
      </c>
      <c r="I224" s="61"/>
      <c r="J224" s="61">
        <v>9826.7</v>
      </c>
      <c r="K224" s="62" t="e">
        <f t="shared" si="4"/>
        <v>#VALUE!</v>
      </c>
    </row>
    <row r="225" spans="1:11" ht="33.75" hidden="1">
      <c r="A225" s="63"/>
      <c r="B225" s="59" t="s">
        <v>107</v>
      </c>
      <c r="C225" s="63">
        <v>966</v>
      </c>
      <c r="D225" s="63" t="s">
        <v>88</v>
      </c>
      <c r="E225" s="63" t="s">
        <v>227</v>
      </c>
      <c r="F225" s="59">
        <v>240</v>
      </c>
      <c r="G225" s="59"/>
      <c r="H225" s="64">
        <f>H226</f>
        <v>10000</v>
      </c>
      <c r="I225" s="61"/>
      <c r="J225" s="61"/>
      <c r="K225" s="62" t="e">
        <f t="shared" si="4"/>
        <v>#VALUE!</v>
      </c>
    </row>
    <row r="226" spans="1:11" ht="45" hidden="1">
      <c r="A226" s="63"/>
      <c r="B226" s="59" t="s">
        <v>195</v>
      </c>
      <c r="C226" s="63">
        <v>966</v>
      </c>
      <c r="D226" s="63" t="s">
        <v>88</v>
      </c>
      <c r="E226" s="63" t="s">
        <v>227</v>
      </c>
      <c r="F226" s="59">
        <v>244</v>
      </c>
      <c r="G226" s="59"/>
      <c r="H226" s="64">
        <f>H227+H228+H229</f>
        <v>10000</v>
      </c>
      <c r="I226" s="61"/>
      <c r="J226" s="61"/>
      <c r="K226" s="62" t="e">
        <f t="shared" si="4"/>
        <v>#VALUE!</v>
      </c>
    </row>
    <row r="227" spans="1:11" ht="12.75" hidden="1">
      <c r="A227" s="63"/>
      <c r="B227" s="59" t="s">
        <v>204</v>
      </c>
      <c r="C227" s="63">
        <v>966</v>
      </c>
      <c r="D227" s="63" t="s">
        <v>88</v>
      </c>
      <c r="E227" s="63" t="s">
        <v>227</v>
      </c>
      <c r="F227" s="59">
        <v>244</v>
      </c>
      <c r="G227" s="59">
        <v>226</v>
      </c>
      <c r="H227" s="64">
        <f>10125.3-125.3-1503.1-1618.5-431</f>
        <v>6447.4</v>
      </c>
      <c r="I227" s="61"/>
      <c r="J227" s="61"/>
      <c r="K227" s="62" t="e">
        <f t="shared" si="4"/>
        <v>#VALUE!</v>
      </c>
    </row>
    <row r="228" spans="1:11" ht="22.5" hidden="1">
      <c r="A228" s="63"/>
      <c r="B228" s="59" t="s">
        <v>214</v>
      </c>
      <c r="C228" s="63">
        <v>966</v>
      </c>
      <c r="D228" s="63" t="s">
        <v>88</v>
      </c>
      <c r="E228" s="63" t="s">
        <v>227</v>
      </c>
      <c r="F228" s="59">
        <v>244</v>
      </c>
      <c r="G228" s="59">
        <v>310</v>
      </c>
      <c r="H228" s="64">
        <f>915.9+1618.5</f>
        <v>2534.4</v>
      </c>
      <c r="I228" s="61"/>
      <c r="J228" s="61"/>
      <c r="K228" s="62" t="e">
        <f t="shared" si="4"/>
        <v>#VALUE!</v>
      </c>
    </row>
    <row r="229" spans="1:11" ht="22.5" hidden="1">
      <c r="A229" s="63"/>
      <c r="B229" s="59" t="s">
        <v>213</v>
      </c>
      <c r="C229" s="63">
        <v>966</v>
      </c>
      <c r="D229" s="63" t="s">
        <v>88</v>
      </c>
      <c r="E229" s="63" t="s">
        <v>227</v>
      </c>
      <c r="F229" s="59">
        <v>244</v>
      </c>
      <c r="G229" s="59">
        <v>340</v>
      </c>
      <c r="H229" s="64">
        <f>587.2+431</f>
        <v>1018.2</v>
      </c>
      <c r="I229" s="61"/>
      <c r="J229" s="61"/>
      <c r="K229" s="62" t="e">
        <f t="shared" si="4"/>
        <v>#VALUE!</v>
      </c>
    </row>
    <row r="230" spans="1:11" ht="45" hidden="1">
      <c r="A230" s="63" t="s">
        <v>142</v>
      </c>
      <c r="B230" s="59" t="s">
        <v>191</v>
      </c>
      <c r="C230" s="63">
        <v>966</v>
      </c>
      <c r="D230" s="63" t="s">
        <v>88</v>
      </c>
      <c r="E230" s="63" t="s">
        <v>228</v>
      </c>
      <c r="F230" s="59"/>
      <c r="G230" s="59"/>
      <c r="H230" s="64" t="e">
        <f>H231</f>
        <v>#REF!</v>
      </c>
      <c r="I230" s="61"/>
      <c r="J230" s="61">
        <f>J231</f>
        <v>5622.2</v>
      </c>
      <c r="K230" s="62" t="e">
        <f t="shared" si="4"/>
        <v>#VALUE!</v>
      </c>
    </row>
    <row r="231" spans="1:11" ht="33.75" hidden="1">
      <c r="A231" s="63" t="s">
        <v>143</v>
      </c>
      <c r="B231" s="59" t="s">
        <v>24</v>
      </c>
      <c r="C231" s="63">
        <v>966</v>
      </c>
      <c r="D231" s="63" t="s">
        <v>88</v>
      </c>
      <c r="E231" s="63" t="s">
        <v>228</v>
      </c>
      <c r="F231" s="59">
        <v>200</v>
      </c>
      <c r="G231" s="59"/>
      <c r="H231" s="64" t="e">
        <f>#REF!</f>
        <v>#REF!</v>
      </c>
      <c r="I231" s="61"/>
      <c r="J231" s="61">
        <v>5622.2</v>
      </c>
      <c r="K231" s="62" t="e">
        <f t="shared" si="4"/>
        <v>#VALUE!</v>
      </c>
    </row>
    <row r="232" spans="1:11" ht="33.75" hidden="1">
      <c r="A232" s="63"/>
      <c r="B232" s="59" t="s">
        <v>107</v>
      </c>
      <c r="C232" s="63">
        <v>966</v>
      </c>
      <c r="D232" s="63" t="s">
        <v>88</v>
      </c>
      <c r="E232" s="63" t="s">
        <v>228</v>
      </c>
      <c r="F232" s="59">
        <v>240</v>
      </c>
      <c r="G232" s="59"/>
      <c r="H232" s="64">
        <f>H233</f>
        <v>5622.300000000001</v>
      </c>
      <c r="I232" s="61"/>
      <c r="J232" s="61"/>
      <c r="K232" s="62" t="e">
        <f t="shared" si="4"/>
        <v>#VALUE!</v>
      </c>
    </row>
    <row r="233" spans="1:11" ht="45" hidden="1">
      <c r="A233" s="63"/>
      <c r="B233" s="59" t="s">
        <v>195</v>
      </c>
      <c r="C233" s="63">
        <v>966</v>
      </c>
      <c r="D233" s="63" t="s">
        <v>88</v>
      </c>
      <c r="E233" s="63" t="s">
        <v>228</v>
      </c>
      <c r="F233" s="59">
        <v>244</v>
      </c>
      <c r="G233" s="59"/>
      <c r="H233" s="64">
        <f>H234+H235</f>
        <v>5622.300000000001</v>
      </c>
      <c r="I233" s="61"/>
      <c r="J233" s="61"/>
      <c r="K233" s="62" t="e">
        <f t="shared" si="4"/>
        <v>#VALUE!</v>
      </c>
    </row>
    <row r="234" spans="1:11" ht="12.75" hidden="1">
      <c r="A234" s="63"/>
      <c r="B234" s="59" t="s">
        <v>204</v>
      </c>
      <c r="C234" s="63">
        <v>966</v>
      </c>
      <c r="D234" s="63" t="s">
        <v>88</v>
      </c>
      <c r="E234" s="63" t="s">
        <v>228</v>
      </c>
      <c r="F234" s="59">
        <v>244</v>
      </c>
      <c r="G234" s="59">
        <v>226</v>
      </c>
      <c r="H234" s="64">
        <f>1125.1+5014.1-2190-516.9</f>
        <v>3432.3000000000006</v>
      </c>
      <c r="I234" s="61"/>
      <c r="J234" s="61"/>
      <c r="K234" s="62" t="e">
        <f t="shared" si="4"/>
        <v>#VALUE!</v>
      </c>
    </row>
    <row r="235" spans="1:11" ht="22.5" hidden="1">
      <c r="A235" s="63"/>
      <c r="B235" s="59" t="s">
        <v>214</v>
      </c>
      <c r="C235" s="63">
        <v>966</v>
      </c>
      <c r="D235" s="63" t="s">
        <v>88</v>
      </c>
      <c r="E235" s="63" t="s">
        <v>228</v>
      </c>
      <c r="F235" s="59">
        <v>244</v>
      </c>
      <c r="G235" s="59">
        <v>310</v>
      </c>
      <c r="H235" s="64">
        <v>2190</v>
      </c>
      <c r="I235" s="61"/>
      <c r="J235" s="61"/>
      <c r="K235" s="62" t="e">
        <f t="shared" si="4"/>
        <v>#VALUE!</v>
      </c>
    </row>
    <row r="236" spans="1:11" ht="67.5" hidden="1">
      <c r="A236" s="63" t="s">
        <v>144</v>
      </c>
      <c r="B236" s="59" t="s">
        <v>233</v>
      </c>
      <c r="C236" s="63">
        <v>966</v>
      </c>
      <c r="D236" s="63" t="s">
        <v>88</v>
      </c>
      <c r="E236" s="63" t="s">
        <v>184</v>
      </c>
      <c r="F236" s="59"/>
      <c r="G236" s="59"/>
      <c r="H236" s="64">
        <f>H240</f>
        <v>2680.3</v>
      </c>
      <c r="I236" s="61"/>
      <c r="J236" s="62">
        <f>J237</f>
        <v>2680.3</v>
      </c>
      <c r="K236" s="62">
        <f t="shared" si="4"/>
        <v>4.4671665676444746E-05</v>
      </c>
    </row>
    <row r="237" spans="1:11" ht="33.75" hidden="1">
      <c r="A237" s="63" t="s">
        <v>145</v>
      </c>
      <c r="B237" s="59" t="s">
        <v>24</v>
      </c>
      <c r="C237" s="63">
        <v>966</v>
      </c>
      <c r="D237" s="63" t="s">
        <v>88</v>
      </c>
      <c r="E237" s="63" t="s">
        <v>184</v>
      </c>
      <c r="F237" s="59">
        <v>200</v>
      </c>
      <c r="G237" s="59"/>
      <c r="H237" s="64" t="e">
        <f>#REF!</f>
        <v>#REF!</v>
      </c>
      <c r="I237" s="61"/>
      <c r="J237" s="62">
        <f>J238</f>
        <v>2680.3</v>
      </c>
      <c r="K237" s="62">
        <f t="shared" si="4"/>
        <v>4.4671665676444746E-05</v>
      </c>
    </row>
    <row r="238" spans="1:11" ht="33.75" hidden="1">
      <c r="A238" s="63"/>
      <c r="B238" s="59" t="s">
        <v>107</v>
      </c>
      <c r="C238" s="63">
        <v>966</v>
      </c>
      <c r="D238" s="63" t="s">
        <v>88</v>
      </c>
      <c r="E238" s="63" t="s">
        <v>184</v>
      </c>
      <c r="F238" s="59">
        <v>240</v>
      </c>
      <c r="G238" s="59"/>
      <c r="H238" s="64">
        <f>H239</f>
        <v>2680.3</v>
      </c>
      <c r="I238" s="61"/>
      <c r="J238" s="62">
        <f>H238</f>
        <v>2680.3</v>
      </c>
      <c r="K238" s="62">
        <f t="shared" si="4"/>
        <v>4.4671665676444746E-05</v>
      </c>
    </row>
    <row r="239" spans="1:11" ht="45" hidden="1">
      <c r="A239" s="63"/>
      <c r="B239" s="59" t="s">
        <v>195</v>
      </c>
      <c r="C239" s="63">
        <v>966</v>
      </c>
      <c r="D239" s="63" t="s">
        <v>88</v>
      </c>
      <c r="E239" s="63" t="s">
        <v>184</v>
      </c>
      <c r="F239" s="59">
        <v>244</v>
      </c>
      <c r="G239" s="59"/>
      <c r="H239" s="64">
        <f>H240</f>
        <v>2680.3</v>
      </c>
      <c r="I239" s="61"/>
      <c r="J239" s="61"/>
      <c r="K239" s="62">
        <f t="shared" si="4"/>
        <v>0</v>
      </c>
    </row>
    <row r="240" spans="1:11" ht="12.75" hidden="1">
      <c r="A240" s="63"/>
      <c r="B240" s="59" t="s">
        <v>204</v>
      </c>
      <c r="C240" s="63">
        <v>966</v>
      </c>
      <c r="D240" s="63" t="s">
        <v>88</v>
      </c>
      <c r="E240" s="63" t="s">
        <v>184</v>
      </c>
      <c r="F240" s="59">
        <v>244</v>
      </c>
      <c r="G240" s="59">
        <v>226</v>
      </c>
      <c r="H240" s="64">
        <f>5110.3-3030+650-50</f>
        <v>2680.3</v>
      </c>
      <c r="I240" s="61"/>
      <c r="J240" s="61"/>
      <c r="K240" s="62">
        <f t="shared" si="4"/>
        <v>0</v>
      </c>
    </row>
    <row r="241" spans="1:11" ht="78.75" hidden="1">
      <c r="A241" s="63" t="s">
        <v>192</v>
      </c>
      <c r="B241" s="59" t="s">
        <v>162</v>
      </c>
      <c r="C241" s="63">
        <v>966</v>
      </c>
      <c r="D241" s="63" t="s">
        <v>88</v>
      </c>
      <c r="E241" s="63" t="s">
        <v>194</v>
      </c>
      <c r="F241" s="59"/>
      <c r="G241" s="59"/>
      <c r="H241" s="64">
        <f>H244</f>
        <v>0</v>
      </c>
      <c r="I241" s="61"/>
      <c r="J241" s="61"/>
      <c r="K241" s="62">
        <f t="shared" si="4"/>
        <v>0</v>
      </c>
    </row>
    <row r="242" spans="1:11" ht="33.75" hidden="1">
      <c r="A242" s="63" t="s">
        <v>193</v>
      </c>
      <c r="B242" s="59" t="s">
        <v>24</v>
      </c>
      <c r="C242" s="63">
        <v>966</v>
      </c>
      <c r="D242" s="63" t="s">
        <v>88</v>
      </c>
      <c r="E242" s="63" t="s">
        <v>194</v>
      </c>
      <c r="F242" s="59">
        <v>200</v>
      </c>
      <c r="G242" s="59"/>
      <c r="H242" s="64">
        <f>H244</f>
        <v>0</v>
      </c>
      <c r="I242" s="61"/>
      <c r="J242" s="61"/>
      <c r="K242" s="62">
        <f t="shared" si="4"/>
        <v>0</v>
      </c>
    </row>
    <row r="243" spans="1:11" ht="33.75" hidden="1">
      <c r="A243" s="63"/>
      <c r="B243" s="59" t="s">
        <v>107</v>
      </c>
      <c r="C243" s="63">
        <v>966</v>
      </c>
      <c r="D243" s="63" t="s">
        <v>88</v>
      </c>
      <c r="E243" s="63" t="s">
        <v>194</v>
      </c>
      <c r="F243" s="59">
        <v>240</v>
      </c>
      <c r="G243" s="59"/>
      <c r="H243" s="64">
        <f>H244</f>
        <v>0</v>
      </c>
      <c r="I243" s="61"/>
      <c r="J243" s="61"/>
      <c r="K243" s="62">
        <f t="shared" si="4"/>
        <v>0</v>
      </c>
    </row>
    <row r="244" spans="1:11" ht="45" hidden="1">
      <c r="A244" s="63"/>
      <c r="B244" s="59" t="s">
        <v>195</v>
      </c>
      <c r="C244" s="63">
        <v>966</v>
      </c>
      <c r="D244" s="63" t="s">
        <v>88</v>
      </c>
      <c r="E244" s="63" t="s">
        <v>194</v>
      </c>
      <c r="F244" s="59">
        <v>244</v>
      </c>
      <c r="G244" s="59"/>
      <c r="H244" s="64">
        <f>H245</f>
        <v>0</v>
      </c>
      <c r="I244" s="61"/>
      <c r="J244" s="61"/>
      <c r="K244" s="62">
        <f t="shared" si="4"/>
        <v>0</v>
      </c>
    </row>
    <row r="245" spans="1:11" ht="22.5" hidden="1">
      <c r="A245" s="63"/>
      <c r="B245" s="59" t="s">
        <v>214</v>
      </c>
      <c r="C245" s="63">
        <v>966</v>
      </c>
      <c r="D245" s="63" t="s">
        <v>88</v>
      </c>
      <c r="E245" s="63" t="s">
        <v>194</v>
      </c>
      <c r="F245" s="59">
        <v>244</v>
      </c>
      <c r="G245" s="59">
        <v>310</v>
      </c>
      <c r="H245" s="64">
        <f>983.7-200-783.7</f>
        <v>0</v>
      </c>
      <c r="I245" s="61"/>
      <c r="J245" s="61"/>
      <c r="K245" s="62">
        <f t="shared" si="4"/>
        <v>0</v>
      </c>
    </row>
    <row r="246" spans="1:11" ht="33.75" hidden="1">
      <c r="A246" s="63" t="s">
        <v>401</v>
      </c>
      <c r="B246" s="59" t="s">
        <v>249</v>
      </c>
      <c r="C246" s="63">
        <v>966</v>
      </c>
      <c r="D246" s="63" t="s">
        <v>88</v>
      </c>
      <c r="E246" s="63" t="s">
        <v>243</v>
      </c>
      <c r="F246" s="59"/>
      <c r="G246" s="59"/>
      <c r="H246" s="64" t="e">
        <f>H247+H258</f>
        <v>#REF!</v>
      </c>
      <c r="I246" s="61"/>
      <c r="J246" s="61">
        <f>J247+J258</f>
        <v>3506.7</v>
      </c>
      <c r="K246" s="62">
        <f t="shared" si="4"/>
        <v>5.844499868498753E-05</v>
      </c>
    </row>
    <row r="247" spans="1:11" ht="78.75" hidden="1">
      <c r="A247" s="63" t="s">
        <v>402</v>
      </c>
      <c r="B247" s="59" t="s">
        <v>104</v>
      </c>
      <c r="C247" s="63">
        <v>966</v>
      </c>
      <c r="D247" s="63" t="s">
        <v>88</v>
      </c>
      <c r="E247" s="63" t="s">
        <v>243</v>
      </c>
      <c r="F247" s="59">
        <v>100</v>
      </c>
      <c r="G247" s="59"/>
      <c r="H247" s="64" t="e">
        <f>#REF!</f>
        <v>#REF!</v>
      </c>
      <c r="I247" s="61"/>
      <c r="J247" s="61">
        <v>3362</v>
      </c>
      <c r="K247" s="62">
        <f t="shared" si="4"/>
        <v>5.603333207258336E-05</v>
      </c>
    </row>
    <row r="248" spans="1:11" ht="33.75" hidden="1">
      <c r="A248" s="63"/>
      <c r="B248" s="59" t="s">
        <v>247</v>
      </c>
      <c r="C248" s="63">
        <v>966</v>
      </c>
      <c r="D248" s="63" t="s">
        <v>88</v>
      </c>
      <c r="E248" s="63" t="s">
        <v>243</v>
      </c>
      <c r="F248" s="59">
        <v>110</v>
      </c>
      <c r="G248" s="59"/>
      <c r="H248" s="64">
        <f>H249+H251+H253</f>
        <v>3230.2</v>
      </c>
      <c r="I248" s="61"/>
      <c r="J248" s="61"/>
      <c r="K248" s="62">
        <f aca="true" t="shared" si="5" ref="K248:K296">J248/E248*100</f>
        <v>0</v>
      </c>
    </row>
    <row r="249" spans="1:11" ht="22.5" hidden="1">
      <c r="A249" s="63"/>
      <c r="B249" s="59" t="s">
        <v>244</v>
      </c>
      <c r="C249" s="63">
        <v>966</v>
      </c>
      <c r="D249" s="63" t="s">
        <v>88</v>
      </c>
      <c r="E249" s="63" t="s">
        <v>243</v>
      </c>
      <c r="F249" s="59">
        <v>111</v>
      </c>
      <c r="G249" s="59"/>
      <c r="H249" s="64">
        <f>H250</f>
        <v>2598.2</v>
      </c>
      <c r="I249" s="61"/>
      <c r="J249" s="61"/>
      <c r="K249" s="62">
        <f t="shared" si="5"/>
        <v>0</v>
      </c>
    </row>
    <row r="250" spans="1:11" ht="12.75" hidden="1">
      <c r="A250" s="63"/>
      <c r="B250" s="59" t="s">
        <v>202</v>
      </c>
      <c r="C250" s="63">
        <v>966</v>
      </c>
      <c r="D250" s="63" t="s">
        <v>88</v>
      </c>
      <c r="E250" s="63" t="s">
        <v>243</v>
      </c>
      <c r="F250" s="59">
        <v>111</v>
      </c>
      <c r="G250" s="59">
        <v>211</v>
      </c>
      <c r="H250" s="64">
        <f>1786.5+811.7</f>
        <v>2598.2</v>
      </c>
      <c r="I250" s="61"/>
      <c r="J250" s="61"/>
      <c r="K250" s="62">
        <f t="shared" si="5"/>
        <v>0</v>
      </c>
    </row>
    <row r="251" spans="1:11" ht="33.75" hidden="1">
      <c r="A251" s="63"/>
      <c r="B251" s="63" t="s">
        <v>397</v>
      </c>
      <c r="C251" s="63">
        <v>966</v>
      </c>
      <c r="D251" s="63" t="s">
        <v>88</v>
      </c>
      <c r="E251" s="63" t="s">
        <v>243</v>
      </c>
      <c r="F251" s="59">
        <v>112</v>
      </c>
      <c r="G251" s="59"/>
      <c r="H251" s="64">
        <f>H252</f>
        <v>1.6</v>
      </c>
      <c r="I251" s="61"/>
      <c r="J251" s="61"/>
      <c r="K251" s="62">
        <f t="shared" si="5"/>
        <v>0</v>
      </c>
    </row>
    <row r="252" spans="1:11" ht="12.75" hidden="1">
      <c r="A252" s="63"/>
      <c r="B252" s="63" t="s">
        <v>212</v>
      </c>
      <c r="C252" s="63">
        <v>966</v>
      </c>
      <c r="D252" s="63" t="s">
        <v>88</v>
      </c>
      <c r="E252" s="63" t="s">
        <v>243</v>
      </c>
      <c r="F252" s="59">
        <v>112</v>
      </c>
      <c r="G252" s="59">
        <v>222</v>
      </c>
      <c r="H252" s="64">
        <v>1.6</v>
      </c>
      <c r="I252" s="61"/>
      <c r="J252" s="61"/>
      <c r="K252" s="62">
        <f t="shared" si="5"/>
        <v>0</v>
      </c>
    </row>
    <row r="253" spans="1:11" ht="67.5" hidden="1">
      <c r="A253" s="63"/>
      <c r="B253" s="59" t="s">
        <v>248</v>
      </c>
      <c r="C253" s="63">
        <v>966</v>
      </c>
      <c r="D253" s="63" t="s">
        <v>88</v>
      </c>
      <c r="E253" s="63" t="s">
        <v>243</v>
      </c>
      <c r="F253" s="59">
        <v>119</v>
      </c>
      <c r="G253" s="59"/>
      <c r="H253" s="64">
        <f>H254</f>
        <v>630.4</v>
      </c>
      <c r="I253" s="61"/>
      <c r="J253" s="61"/>
      <c r="K253" s="62">
        <f t="shared" si="5"/>
        <v>0</v>
      </c>
    </row>
    <row r="254" spans="1:11" ht="22.5" hidden="1">
      <c r="A254" s="63"/>
      <c r="B254" s="59" t="s">
        <v>203</v>
      </c>
      <c r="C254" s="63">
        <v>966</v>
      </c>
      <c r="D254" s="63" t="s">
        <v>88</v>
      </c>
      <c r="E254" s="63" t="s">
        <v>243</v>
      </c>
      <c r="F254" s="59">
        <v>119</v>
      </c>
      <c r="G254" s="59">
        <v>213</v>
      </c>
      <c r="H254" s="64">
        <f>535.9+94.5</f>
        <v>630.4</v>
      </c>
      <c r="I254" s="61"/>
      <c r="J254" s="61"/>
      <c r="K254" s="62">
        <f t="shared" si="5"/>
        <v>0</v>
      </c>
    </row>
    <row r="255" spans="1:11" ht="33.75" hidden="1">
      <c r="A255" s="63"/>
      <c r="B255" s="63" t="s">
        <v>6</v>
      </c>
      <c r="C255" s="63">
        <v>966</v>
      </c>
      <c r="D255" s="63" t="s">
        <v>88</v>
      </c>
      <c r="E255" s="63" t="s">
        <v>243</v>
      </c>
      <c r="F255" s="59">
        <v>120</v>
      </c>
      <c r="G255" s="59"/>
      <c r="H255" s="64">
        <f>H256</f>
        <v>0</v>
      </c>
      <c r="I255" s="61"/>
      <c r="J255" s="61"/>
      <c r="K255" s="62">
        <f t="shared" si="5"/>
        <v>0</v>
      </c>
    </row>
    <row r="256" spans="1:11" ht="45" hidden="1">
      <c r="A256" s="63"/>
      <c r="B256" s="63" t="s">
        <v>240</v>
      </c>
      <c r="C256" s="63">
        <v>966</v>
      </c>
      <c r="D256" s="63" t="s">
        <v>88</v>
      </c>
      <c r="E256" s="63" t="s">
        <v>243</v>
      </c>
      <c r="F256" s="59">
        <v>122</v>
      </c>
      <c r="G256" s="59"/>
      <c r="H256" s="64">
        <f>H257</f>
        <v>0</v>
      </c>
      <c r="I256" s="61"/>
      <c r="J256" s="61"/>
      <c r="K256" s="62">
        <f t="shared" si="5"/>
        <v>0</v>
      </c>
    </row>
    <row r="257" spans="1:11" ht="12.75" hidden="1">
      <c r="A257" s="63"/>
      <c r="B257" s="63" t="s">
        <v>212</v>
      </c>
      <c r="C257" s="63">
        <v>966</v>
      </c>
      <c r="D257" s="63" t="s">
        <v>88</v>
      </c>
      <c r="E257" s="63" t="s">
        <v>243</v>
      </c>
      <c r="F257" s="59">
        <v>122</v>
      </c>
      <c r="G257" s="59">
        <v>222</v>
      </c>
      <c r="H257" s="64">
        <v>0</v>
      </c>
      <c r="I257" s="61"/>
      <c r="J257" s="61"/>
      <c r="K257" s="62">
        <f t="shared" si="5"/>
        <v>0</v>
      </c>
    </row>
    <row r="258" spans="1:11" ht="33.75" hidden="1">
      <c r="A258" s="63" t="s">
        <v>403</v>
      </c>
      <c r="B258" s="59" t="s">
        <v>24</v>
      </c>
      <c r="C258" s="63">
        <v>966</v>
      </c>
      <c r="D258" s="63" t="s">
        <v>88</v>
      </c>
      <c r="E258" s="63" t="s">
        <v>243</v>
      </c>
      <c r="F258" s="59">
        <v>200</v>
      </c>
      <c r="G258" s="59"/>
      <c r="H258" s="64" t="e">
        <f>#REF!</f>
        <v>#REF!</v>
      </c>
      <c r="I258" s="61"/>
      <c r="J258" s="61">
        <v>144.7</v>
      </c>
      <c r="K258" s="62">
        <f t="shared" si="5"/>
        <v>2.411666612404168E-06</v>
      </c>
    </row>
    <row r="259" spans="1:11" ht="33.75" hidden="1">
      <c r="A259" s="63"/>
      <c r="B259" s="59" t="s">
        <v>107</v>
      </c>
      <c r="C259" s="63">
        <v>966</v>
      </c>
      <c r="D259" s="63" t="s">
        <v>88</v>
      </c>
      <c r="E259" s="63" t="s">
        <v>243</v>
      </c>
      <c r="F259" s="59">
        <v>240</v>
      </c>
      <c r="G259" s="59"/>
      <c r="H259" s="64">
        <f>H262+H260</f>
        <v>145.20000000000002</v>
      </c>
      <c r="I259" s="61"/>
      <c r="J259" s="61"/>
      <c r="K259" s="62">
        <f t="shared" si="5"/>
        <v>0</v>
      </c>
    </row>
    <row r="260" spans="1:11" ht="33.75" hidden="1">
      <c r="A260" s="63"/>
      <c r="B260" s="59" t="s">
        <v>198</v>
      </c>
      <c r="C260" s="63">
        <v>966</v>
      </c>
      <c r="D260" s="63" t="s">
        <v>88</v>
      </c>
      <c r="E260" s="63" t="s">
        <v>243</v>
      </c>
      <c r="F260" s="59">
        <v>242</v>
      </c>
      <c r="G260" s="59"/>
      <c r="H260" s="64">
        <f>H261</f>
        <v>0.4</v>
      </c>
      <c r="I260" s="61"/>
      <c r="J260" s="61"/>
      <c r="K260" s="62">
        <f t="shared" si="5"/>
        <v>0</v>
      </c>
    </row>
    <row r="261" spans="1:11" ht="12.75" hidden="1">
      <c r="A261" s="63"/>
      <c r="B261" s="59" t="s">
        <v>207</v>
      </c>
      <c r="C261" s="63">
        <v>966</v>
      </c>
      <c r="D261" s="63" t="s">
        <v>88</v>
      </c>
      <c r="E261" s="63" t="s">
        <v>243</v>
      </c>
      <c r="F261" s="59">
        <v>242</v>
      </c>
      <c r="G261" s="59">
        <v>221</v>
      </c>
      <c r="H261" s="64">
        <f>1.3-0.9</f>
        <v>0.4</v>
      </c>
      <c r="I261" s="61"/>
      <c r="J261" s="61"/>
      <c r="K261" s="62">
        <f t="shared" si="5"/>
        <v>0</v>
      </c>
    </row>
    <row r="262" spans="1:11" ht="45" hidden="1">
      <c r="A262" s="63"/>
      <c r="B262" s="59" t="s">
        <v>195</v>
      </c>
      <c r="C262" s="63">
        <v>966</v>
      </c>
      <c r="D262" s="63" t="s">
        <v>88</v>
      </c>
      <c r="E262" s="63" t="s">
        <v>243</v>
      </c>
      <c r="F262" s="59">
        <v>244</v>
      </c>
      <c r="G262" s="59"/>
      <c r="H262" s="64">
        <f>SUM(H263:H265)</f>
        <v>144.8</v>
      </c>
      <c r="I262" s="61"/>
      <c r="J262" s="61"/>
      <c r="K262" s="62">
        <f t="shared" si="5"/>
        <v>0</v>
      </c>
    </row>
    <row r="263" spans="1:11" ht="12.75" hidden="1">
      <c r="A263" s="63"/>
      <c r="B263" s="59" t="s">
        <v>204</v>
      </c>
      <c r="C263" s="63">
        <v>966</v>
      </c>
      <c r="D263" s="63" t="s">
        <v>88</v>
      </c>
      <c r="E263" s="63" t="s">
        <v>243</v>
      </c>
      <c r="F263" s="59">
        <v>244</v>
      </c>
      <c r="G263" s="59">
        <v>226</v>
      </c>
      <c r="H263" s="64">
        <f>200-195.9</f>
        <v>4.099999999999994</v>
      </c>
      <c r="I263" s="61"/>
      <c r="J263" s="61"/>
      <c r="K263" s="62">
        <f t="shared" si="5"/>
        <v>0</v>
      </c>
    </row>
    <row r="264" spans="1:11" ht="22.5" hidden="1">
      <c r="A264" s="63"/>
      <c r="B264" s="59" t="s">
        <v>214</v>
      </c>
      <c r="C264" s="63">
        <v>966</v>
      </c>
      <c r="D264" s="63" t="s">
        <v>88</v>
      </c>
      <c r="E264" s="63" t="s">
        <v>243</v>
      </c>
      <c r="F264" s="59">
        <v>244</v>
      </c>
      <c r="G264" s="59">
        <v>310</v>
      </c>
      <c r="H264" s="64">
        <f>150-79.3-70</f>
        <v>0.7000000000000028</v>
      </c>
      <c r="I264" s="61"/>
      <c r="J264" s="61"/>
      <c r="K264" s="62">
        <f t="shared" si="5"/>
        <v>0</v>
      </c>
    </row>
    <row r="265" spans="1:11" ht="22.5" hidden="1">
      <c r="A265" s="63"/>
      <c r="B265" s="59" t="s">
        <v>213</v>
      </c>
      <c r="C265" s="63">
        <v>966</v>
      </c>
      <c r="D265" s="63" t="s">
        <v>88</v>
      </c>
      <c r="E265" s="63" t="s">
        <v>243</v>
      </c>
      <c r="F265" s="59">
        <v>244</v>
      </c>
      <c r="G265" s="59">
        <v>340</v>
      </c>
      <c r="H265" s="64">
        <f>300-160</f>
        <v>140</v>
      </c>
      <c r="I265" s="61"/>
      <c r="J265" s="61"/>
      <c r="K265" s="62">
        <f t="shared" si="5"/>
        <v>0</v>
      </c>
    </row>
    <row r="266" spans="1:11" ht="56.25" hidden="1">
      <c r="A266" s="63" t="s">
        <v>404</v>
      </c>
      <c r="B266" s="59" t="s">
        <v>254</v>
      </c>
      <c r="C266" s="63">
        <v>966</v>
      </c>
      <c r="D266" s="63" t="s">
        <v>88</v>
      </c>
      <c r="E266" s="63" t="s">
        <v>171</v>
      </c>
      <c r="F266" s="59"/>
      <c r="G266" s="59"/>
      <c r="H266" s="64" t="e">
        <f>H267</f>
        <v>#REF!</v>
      </c>
      <c r="I266" s="61"/>
      <c r="J266" s="61">
        <f>J267</f>
        <v>330.7</v>
      </c>
      <c r="K266" s="62">
        <f t="shared" si="5"/>
        <v>4.724285302597995E-05</v>
      </c>
    </row>
    <row r="267" spans="1:11" ht="45" hidden="1">
      <c r="A267" s="63" t="s">
        <v>246</v>
      </c>
      <c r="B267" s="59" t="s">
        <v>195</v>
      </c>
      <c r="C267" s="63">
        <v>966</v>
      </c>
      <c r="D267" s="63" t="s">
        <v>88</v>
      </c>
      <c r="E267" s="63" t="s">
        <v>171</v>
      </c>
      <c r="F267" s="59">
        <v>200</v>
      </c>
      <c r="G267" s="59"/>
      <c r="H267" s="64" t="e">
        <f>#REF!</f>
        <v>#REF!</v>
      </c>
      <c r="I267" s="61"/>
      <c r="J267" s="61">
        <v>330.7</v>
      </c>
      <c r="K267" s="62">
        <f t="shared" si="5"/>
        <v>4.724285302597995E-05</v>
      </c>
    </row>
    <row r="268" spans="1:11" ht="45" hidden="1">
      <c r="A268" s="63"/>
      <c r="B268" s="59" t="s">
        <v>195</v>
      </c>
      <c r="C268" s="63">
        <v>966</v>
      </c>
      <c r="D268" s="63" t="s">
        <v>88</v>
      </c>
      <c r="E268" s="63" t="s">
        <v>171</v>
      </c>
      <c r="F268" s="59">
        <v>244</v>
      </c>
      <c r="G268" s="59"/>
      <c r="H268" s="64">
        <v>377.4</v>
      </c>
      <c r="I268" s="61"/>
      <c r="J268" s="61"/>
      <c r="K268" s="62">
        <f t="shared" si="5"/>
        <v>0</v>
      </c>
    </row>
    <row r="269" spans="1:11" ht="12.75" hidden="1">
      <c r="A269" s="63"/>
      <c r="B269" s="59" t="s">
        <v>204</v>
      </c>
      <c r="C269" s="63">
        <v>966</v>
      </c>
      <c r="D269" s="63" t="s">
        <v>88</v>
      </c>
      <c r="E269" s="63" t="s">
        <v>171</v>
      </c>
      <c r="F269" s="59">
        <v>244</v>
      </c>
      <c r="G269" s="59">
        <v>266</v>
      </c>
      <c r="H269" s="64">
        <v>377.4</v>
      </c>
      <c r="I269" s="61"/>
      <c r="J269" s="61"/>
      <c r="K269" s="62">
        <f t="shared" si="5"/>
        <v>0</v>
      </c>
    </row>
    <row r="270" spans="1:11" ht="12.75">
      <c r="A270" s="63" t="s">
        <v>132</v>
      </c>
      <c r="B270" s="59" t="s">
        <v>52</v>
      </c>
      <c r="C270" s="63" t="s">
        <v>466</v>
      </c>
      <c r="D270" s="63" t="s">
        <v>456</v>
      </c>
      <c r="E270" s="234">
        <f>E271</f>
        <v>340.1</v>
      </c>
      <c r="F270" s="235"/>
      <c r="G270" s="235"/>
      <c r="H270" s="236"/>
      <c r="I270" s="61"/>
      <c r="J270" s="62">
        <f>J271</f>
        <v>340</v>
      </c>
      <c r="K270" s="62">
        <f t="shared" si="5"/>
        <v>99.97059688326962</v>
      </c>
    </row>
    <row r="271" spans="1:11" ht="12.75">
      <c r="A271" s="63" t="s">
        <v>164</v>
      </c>
      <c r="B271" s="59" t="s">
        <v>54</v>
      </c>
      <c r="C271" s="63" t="s">
        <v>466</v>
      </c>
      <c r="D271" s="63" t="s">
        <v>465</v>
      </c>
      <c r="E271" s="234">
        <v>340.1</v>
      </c>
      <c r="F271" s="235"/>
      <c r="G271" s="235"/>
      <c r="H271" s="236"/>
      <c r="I271" s="61"/>
      <c r="J271" s="62">
        <f>'Прил 2'!J140</f>
        <v>340</v>
      </c>
      <c r="K271" s="62">
        <f t="shared" si="5"/>
        <v>99.97059688326962</v>
      </c>
    </row>
    <row r="272" spans="1:11" ht="123.75" hidden="1">
      <c r="A272" s="63" t="s">
        <v>50</v>
      </c>
      <c r="B272" s="59" t="s">
        <v>112</v>
      </c>
      <c r="C272" s="59">
        <v>966</v>
      </c>
      <c r="D272" s="63" t="s">
        <v>90</v>
      </c>
      <c r="E272" s="63" t="s">
        <v>185</v>
      </c>
      <c r="F272" s="59"/>
      <c r="G272" s="59"/>
      <c r="H272" s="64" t="e">
        <f>H273</f>
        <v>#REF!</v>
      </c>
      <c r="I272" s="61"/>
      <c r="J272" s="61">
        <f>J273</f>
        <v>216</v>
      </c>
      <c r="K272" s="62">
        <f t="shared" si="5"/>
        <v>2.7169810702171608E-06</v>
      </c>
    </row>
    <row r="273" spans="1:11" ht="33.75" hidden="1">
      <c r="A273" s="63" t="s">
        <v>51</v>
      </c>
      <c r="B273" s="59" t="s">
        <v>24</v>
      </c>
      <c r="C273" s="59">
        <v>966</v>
      </c>
      <c r="D273" s="63" t="s">
        <v>90</v>
      </c>
      <c r="E273" s="63" t="s">
        <v>185</v>
      </c>
      <c r="F273" s="59">
        <v>200</v>
      </c>
      <c r="G273" s="59"/>
      <c r="H273" s="64" t="e">
        <f>#REF!</f>
        <v>#REF!</v>
      </c>
      <c r="I273" s="61"/>
      <c r="J273" s="61">
        <v>216</v>
      </c>
      <c r="K273" s="62">
        <f t="shared" si="5"/>
        <v>2.7169810702171608E-06</v>
      </c>
    </row>
    <row r="274" spans="1:11" ht="33.75" hidden="1">
      <c r="A274" s="63"/>
      <c r="B274" s="59" t="s">
        <v>107</v>
      </c>
      <c r="C274" s="59">
        <v>966</v>
      </c>
      <c r="D274" s="63" t="s">
        <v>90</v>
      </c>
      <c r="E274" s="63" t="s">
        <v>185</v>
      </c>
      <c r="F274" s="59">
        <v>240</v>
      </c>
      <c r="G274" s="59"/>
      <c r="H274" s="64">
        <f>H275</f>
        <v>455.6</v>
      </c>
      <c r="I274" s="61"/>
      <c r="J274" s="61"/>
      <c r="K274" s="62">
        <f t="shared" si="5"/>
        <v>0</v>
      </c>
    </row>
    <row r="275" spans="1:11" ht="45" hidden="1">
      <c r="A275" s="63"/>
      <c r="B275" s="59" t="s">
        <v>195</v>
      </c>
      <c r="C275" s="59">
        <v>966</v>
      </c>
      <c r="D275" s="63" t="s">
        <v>90</v>
      </c>
      <c r="E275" s="63" t="s">
        <v>185</v>
      </c>
      <c r="F275" s="59">
        <v>244</v>
      </c>
      <c r="G275" s="59"/>
      <c r="H275" s="64">
        <f>H276</f>
        <v>455.6</v>
      </c>
      <c r="I275" s="61"/>
      <c r="J275" s="61"/>
      <c r="K275" s="62">
        <f t="shared" si="5"/>
        <v>0</v>
      </c>
    </row>
    <row r="276" spans="1:11" ht="12.75" hidden="1">
      <c r="A276" s="63"/>
      <c r="B276" s="59" t="s">
        <v>204</v>
      </c>
      <c r="C276" s="59">
        <v>966</v>
      </c>
      <c r="D276" s="63" t="s">
        <v>90</v>
      </c>
      <c r="E276" s="63" t="s">
        <v>185</v>
      </c>
      <c r="F276" s="59">
        <v>244</v>
      </c>
      <c r="G276" s="59">
        <v>226</v>
      </c>
      <c r="H276" s="64">
        <f>755.6-300</f>
        <v>455.6</v>
      </c>
      <c r="I276" s="61"/>
      <c r="J276" s="61"/>
      <c r="K276" s="62">
        <f t="shared" si="5"/>
        <v>0</v>
      </c>
    </row>
    <row r="277" spans="1:11" ht="12.75">
      <c r="A277" s="63" t="s">
        <v>146</v>
      </c>
      <c r="B277" s="59" t="s">
        <v>57</v>
      </c>
      <c r="C277" s="63" t="s">
        <v>467</v>
      </c>
      <c r="D277" s="63" t="s">
        <v>456</v>
      </c>
      <c r="E277" s="234">
        <f>E278</f>
        <v>14947.3</v>
      </c>
      <c r="F277" s="235"/>
      <c r="G277" s="235"/>
      <c r="H277" s="236"/>
      <c r="I277" s="61"/>
      <c r="J277" s="62">
        <f>J278</f>
        <v>14947.199999999999</v>
      </c>
      <c r="K277" s="62">
        <f t="shared" si="5"/>
        <v>99.99933098285308</v>
      </c>
    </row>
    <row r="278" spans="1:11" ht="12.75">
      <c r="A278" s="63" t="s">
        <v>53</v>
      </c>
      <c r="B278" s="59" t="s">
        <v>59</v>
      </c>
      <c r="C278" s="63" t="s">
        <v>467</v>
      </c>
      <c r="D278" s="63" t="s">
        <v>470</v>
      </c>
      <c r="E278" s="234">
        <v>14947.3</v>
      </c>
      <c r="F278" s="235"/>
      <c r="G278" s="235"/>
      <c r="H278" s="236"/>
      <c r="I278" s="61"/>
      <c r="J278" s="62">
        <f>'Прил 2'!J145</f>
        <v>14947.199999999999</v>
      </c>
      <c r="K278" s="62">
        <f t="shared" si="5"/>
        <v>99.99933098285308</v>
      </c>
    </row>
    <row r="279" spans="1:11" ht="56.25" hidden="1">
      <c r="A279" s="63" t="s">
        <v>55</v>
      </c>
      <c r="B279" s="59" t="s">
        <v>121</v>
      </c>
      <c r="C279" s="59">
        <v>966</v>
      </c>
      <c r="D279" s="63" t="s">
        <v>92</v>
      </c>
      <c r="E279" s="63" t="s">
        <v>186</v>
      </c>
      <c r="F279" s="59"/>
      <c r="G279" s="59"/>
      <c r="H279" s="64" t="e">
        <f>H280</f>
        <v>#REF!</v>
      </c>
      <c r="I279" s="61"/>
      <c r="J279" s="61">
        <f>J280</f>
        <v>32860.2</v>
      </c>
      <c r="K279" s="62">
        <f t="shared" si="5"/>
        <v>0.0007302266340498769</v>
      </c>
    </row>
    <row r="280" spans="1:11" ht="33.75" hidden="1">
      <c r="A280" s="63" t="s">
        <v>56</v>
      </c>
      <c r="B280" s="59" t="s">
        <v>24</v>
      </c>
      <c r="C280" s="59">
        <v>966</v>
      </c>
      <c r="D280" s="63" t="s">
        <v>92</v>
      </c>
      <c r="E280" s="63" t="s">
        <v>186</v>
      </c>
      <c r="F280" s="59">
        <v>200</v>
      </c>
      <c r="G280" s="59"/>
      <c r="H280" s="64" t="e">
        <f>#REF!</f>
        <v>#REF!</v>
      </c>
      <c r="I280" s="61"/>
      <c r="J280" s="61">
        <v>32860.2</v>
      </c>
      <c r="K280" s="62">
        <f t="shared" si="5"/>
        <v>0.0007302266340498769</v>
      </c>
    </row>
    <row r="281" spans="1:11" ht="33.75" hidden="1">
      <c r="A281" s="63"/>
      <c r="B281" s="59" t="s">
        <v>107</v>
      </c>
      <c r="C281" s="59">
        <v>966</v>
      </c>
      <c r="D281" s="63" t="s">
        <v>92</v>
      </c>
      <c r="E281" s="63" t="s">
        <v>186</v>
      </c>
      <c r="F281" s="59">
        <v>240</v>
      </c>
      <c r="G281" s="59"/>
      <c r="H281" s="64">
        <f>H282</f>
        <v>27554.800000000003</v>
      </c>
      <c r="I281" s="61"/>
      <c r="J281" s="61"/>
      <c r="K281" s="62">
        <f t="shared" si="5"/>
        <v>0</v>
      </c>
    </row>
    <row r="282" spans="1:11" ht="45" hidden="1">
      <c r="A282" s="63"/>
      <c r="B282" s="59" t="s">
        <v>195</v>
      </c>
      <c r="C282" s="59">
        <v>966</v>
      </c>
      <c r="D282" s="63" t="s">
        <v>92</v>
      </c>
      <c r="E282" s="63" t="s">
        <v>186</v>
      </c>
      <c r="F282" s="59">
        <v>244</v>
      </c>
      <c r="G282" s="59"/>
      <c r="H282" s="64">
        <f>SUM(H283:H284)</f>
        <v>27554.800000000003</v>
      </c>
      <c r="I282" s="61"/>
      <c r="J282" s="61"/>
      <c r="K282" s="62">
        <f t="shared" si="5"/>
        <v>0</v>
      </c>
    </row>
    <row r="283" spans="1:11" ht="12.75" hidden="1">
      <c r="A283" s="63"/>
      <c r="B283" s="59" t="s">
        <v>204</v>
      </c>
      <c r="C283" s="59">
        <v>966</v>
      </c>
      <c r="D283" s="63" t="s">
        <v>92</v>
      </c>
      <c r="E283" s="63" t="s">
        <v>186</v>
      </c>
      <c r="F283" s="59">
        <v>244</v>
      </c>
      <c r="G283" s="59">
        <v>226</v>
      </c>
      <c r="H283" s="64">
        <f>620-620</f>
        <v>0</v>
      </c>
      <c r="I283" s="61"/>
      <c r="J283" s="61"/>
      <c r="K283" s="62">
        <f t="shared" si="5"/>
        <v>0</v>
      </c>
    </row>
    <row r="284" spans="1:11" ht="12.75" hidden="1">
      <c r="A284" s="63"/>
      <c r="B284" s="59" t="s">
        <v>199</v>
      </c>
      <c r="C284" s="59">
        <v>966</v>
      </c>
      <c r="D284" s="63" t="s">
        <v>92</v>
      </c>
      <c r="E284" s="63" t="s">
        <v>186</v>
      </c>
      <c r="F284" s="59">
        <v>244</v>
      </c>
      <c r="G284" s="59">
        <v>290</v>
      </c>
      <c r="H284" s="64">
        <f>8333.4+500.3+5988.1+1159.7+3006.4+2429-2420+620+7937.9</f>
        <v>27554.800000000003</v>
      </c>
      <c r="I284" s="61" t="s">
        <v>241</v>
      </c>
      <c r="J284" s="61"/>
      <c r="K284" s="62">
        <f t="shared" si="5"/>
        <v>0</v>
      </c>
    </row>
    <row r="285" spans="1:11" ht="45" hidden="1">
      <c r="A285" s="63" t="s">
        <v>147</v>
      </c>
      <c r="B285" s="59" t="s">
        <v>122</v>
      </c>
      <c r="C285" s="59">
        <v>966</v>
      </c>
      <c r="D285" s="63" t="s">
        <v>92</v>
      </c>
      <c r="E285" s="63" t="s">
        <v>187</v>
      </c>
      <c r="F285" s="59"/>
      <c r="G285" s="59"/>
      <c r="H285" s="64" t="e">
        <f>H286</f>
        <v>#REF!</v>
      </c>
      <c r="I285" s="61"/>
      <c r="J285" s="62" t="e">
        <f>J286</f>
        <v>#REF!</v>
      </c>
      <c r="K285" s="62" t="e">
        <f t="shared" si="5"/>
        <v>#REF!</v>
      </c>
    </row>
    <row r="286" spans="1:11" ht="33.75" hidden="1">
      <c r="A286" s="63" t="s">
        <v>148</v>
      </c>
      <c r="B286" s="59" t="s">
        <v>24</v>
      </c>
      <c r="C286" s="59">
        <v>966</v>
      </c>
      <c r="D286" s="63" t="s">
        <v>92</v>
      </c>
      <c r="E286" s="63" t="s">
        <v>187</v>
      </c>
      <c r="F286" s="59">
        <v>200</v>
      </c>
      <c r="G286" s="59"/>
      <c r="H286" s="64" t="e">
        <f>#REF!</f>
        <v>#REF!</v>
      </c>
      <c r="I286" s="61"/>
      <c r="J286" s="62" t="e">
        <f>H286</f>
        <v>#REF!</v>
      </c>
      <c r="K286" s="62" t="e">
        <f t="shared" si="5"/>
        <v>#REF!</v>
      </c>
    </row>
    <row r="287" spans="1:11" ht="33.75" hidden="1">
      <c r="A287" s="63"/>
      <c r="B287" s="59" t="s">
        <v>107</v>
      </c>
      <c r="C287" s="59">
        <v>966</v>
      </c>
      <c r="D287" s="63" t="s">
        <v>92</v>
      </c>
      <c r="E287" s="63" t="s">
        <v>187</v>
      </c>
      <c r="F287" s="59">
        <v>240</v>
      </c>
      <c r="G287" s="59"/>
      <c r="H287" s="64">
        <f>H288</f>
        <v>400</v>
      </c>
      <c r="I287" s="61"/>
      <c r="J287" s="61"/>
      <c r="K287" s="62">
        <f t="shared" si="5"/>
        <v>0</v>
      </c>
    </row>
    <row r="288" spans="1:11" ht="45" hidden="1">
      <c r="A288" s="63"/>
      <c r="B288" s="59" t="s">
        <v>195</v>
      </c>
      <c r="C288" s="59">
        <v>966</v>
      </c>
      <c r="D288" s="63" t="s">
        <v>92</v>
      </c>
      <c r="E288" s="63" t="s">
        <v>187</v>
      </c>
      <c r="F288" s="59">
        <v>244</v>
      </c>
      <c r="G288" s="59"/>
      <c r="H288" s="64">
        <f>H289</f>
        <v>400</v>
      </c>
      <c r="I288" s="61"/>
      <c r="J288" s="61"/>
      <c r="K288" s="62">
        <f t="shared" si="5"/>
        <v>0</v>
      </c>
    </row>
    <row r="289" spans="1:11" ht="12.75" hidden="1">
      <c r="A289" s="63"/>
      <c r="B289" s="59" t="s">
        <v>199</v>
      </c>
      <c r="C289" s="59">
        <v>966</v>
      </c>
      <c r="D289" s="63" t="s">
        <v>92</v>
      </c>
      <c r="E289" s="63" t="s">
        <v>187</v>
      </c>
      <c r="F289" s="59">
        <v>244</v>
      </c>
      <c r="G289" s="59">
        <v>290</v>
      </c>
      <c r="H289" s="64">
        <f>570-170</f>
        <v>400</v>
      </c>
      <c r="I289" s="61"/>
      <c r="J289" s="61"/>
      <c r="K289" s="62">
        <f t="shared" si="5"/>
        <v>0</v>
      </c>
    </row>
    <row r="290" spans="1:11" ht="12.75">
      <c r="A290" s="63" t="s">
        <v>149</v>
      </c>
      <c r="B290" s="59" t="s">
        <v>61</v>
      </c>
      <c r="C290" s="63" t="s">
        <v>468</v>
      </c>
      <c r="D290" s="63" t="s">
        <v>456</v>
      </c>
      <c r="E290" s="234">
        <f>E291+E297</f>
        <v>11824.4</v>
      </c>
      <c r="F290" s="235"/>
      <c r="G290" s="235"/>
      <c r="H290" s="236"/>
      <c r="I290" s="61"/>
      <c r="J290" s="62">
        <f>J291+J297</f>
        <v>9494.8</v>
      </c>
      <c r="K290" s="62">
        <f t="shared" si="5"/>
        <v>80.29836609045702</v>
      </c>
    </row>
    <row r="291" spans="1:11" ht="14.25" customHeight="1">
      <c r="A291" s="63" t="s">
        <v>58</v>
      </c>
      <c r="B291" s="59" t="s">
        <v>63</v>
      </c>
      <c r="C291" s="59">
        <v>10</v>
      </c>
      <c r="D291" s="63" t="s">
        <v>458</v>
      </c>
      <c r="E291" s="234">
        <v>456.8</v>
      </c>
      <c r="F291" s="235"/>
      <c r="G291" s="235"/>
      <c r="H291" s="236"/>
      <c r="I291" s="61"/>
      <c r="J291" s="62">
        <f>'Прил 2'!J151</f>
        <v>456.8</v>
      </c>
      <c r="K291" s="62">
        <f t="shared" si="5"/>
        <v>100</v>
      </c>
    </row>
    <row r="292" spans="1:11" ht="78.75" hidden="1">
      <c r="A292" s="63" t="s">
        <v>60</v>
      </c>
      <c r="B292" s="59" t="s">
        <v>98</v>
      </c>
      <c r="C292" s="59">
        <v>966</v>
      </c>
      <c r="D292" s="63">
        <v>1003</v>
      </c>
      <c r="E292" s="63" t="s">
        <v>188</v>
      </c>
      <c r="F292" s="59"/>
      <c r="G292" s="59"/>
      <c r="H292" s="64" t="e">
        <f>H293</f>
        <v>#REF!</v>
      </c>
      <c r="I292" s="61"/>
      <c r="J292" s="62" t="e">
        <f>J293</f>
        <v>#REF!</v>
      </c>
      <c r="K292" s="62" t="e">
        <f t="shared" si="5"/>
        <v>#REF!</v>
      </c>
    </row>
    <row r="293" spans="1:11" ht="22.5" hidden="1">
      <c r="A293" s="63" t="s">
        <v>150</v>
      </c>
      <c r="B293" s="59" t="s">
        <v>99</v>
      </c>
      <c r="C293" s="59">
        <v>966</v>
      </c>
      <c r="D293" s="63">
        <v>1003</v>
      </c>
      <c r="E293" s="63" t="s">
        <v>188</v>
      </c>
      <c r="F293" s="59">
        <v>300</v>
      </c>
      <c r="G293" s="59"/>
      <c r="H293" s="64" t="e">
        <f>#REF!</f>
        <v>#REF!</v>
      </c>
      <c r="I293" s="61"/>
      <c r="J293" s="62" t="e">
        <f>H293</f>
        <v>#REF!</v>
      </c>
      <c r="K293" s="62" t="e">
        <f t="shared" si="5"/>
        <v>#REF!</v>
      </c>
    </row>
    <row r="294" spans="1:11" ht="22.5" hidden="1">
      <c r="A294" s="63"/>
      <c r="B294" s="59" t="s">
        <v>101</v>
      </c>
      <c r="C294" s="59">
        <v>966</v>
      </c>
      <c r="D294" s="63">
        <v>1003</v>
      </c>
      <c r="E294" s="63" t="s">
        <v>188</v>
      </c>
      <c r="F294" s="59">
        <v>310</v>
      </c>
      <c r="G294" s="59"/>
      <c r="H294" s="64">
        <f>H295</f>
        <v>397.82</v>
      </c>
      <c r="I294" s="61"/>
      <c r="J294" s="61"/>
      <c r="K294" s="62">
        <f t="shared" si="5"/>
        <v>0</v>
      </c>
    </row>
    <row r="295" spans="1:11" ht="12.75" hidden="1">
      <c r="A295" s="63"/>
      <c r="B295" s="61" t="s">
        <v>197</v>
      </c>
      <c r="C295" s="59">
        <v>966</v>
      </c>
      <c r="D295" s="63">
        <v>1003</v>
      </c>
      <c r="E295" s="63" t="s">
        <v>188</v>
      </c>
      <c r="F295" s="59">
        <v>312</v>
      </c>
      <c r="G295" s="59"/>
      <c r="H295" s="64">
        <f>H296</f>
        <v>397.82</v>
      </c>
      <c r="I295" s="61"/>
      <c r="J295" s="61"/>
      <c r="K295" s="62">
        <f t="shared" si="5"/>
        <v>0</v>
      </c>
    </row>
    <row r="296" spans="1:11" ht="33.75" hidden="1">
      <c r="A296" s="63"/>
      <c r="B296" s="59" t="s">
        <v>232</v>
      </c>
      <c r="C296" s="59">
        <v>966</v>
      </c>
      <c r="D296" s="63">
        <v>1003</v>
      </c>
      <c r="E296" s="63" t="s">
        <v>188</v>
      </c>
      <c r="F296" s="59">
        <v>312</v>
      </c>
      <c r="G296" s="59">
        <v>263</v>
      </c>
      <c r="H296" s="64">
        <f>405.32-7.5</f>
        <v>397.82</v>
      </c>
      <c r="I296" s="61"/>
      <c r="J296" s="61"/>
      <c r="K296" s="62">
        <f t="shared" si="5"/>
        <v>0</v>
      </c>
    </row>
    <row r="297" spans="1:11" ht="12.75">
      <c r="A297" s="63" t="s">
        <v>151</v>
      </c>
      <c r="B297" s="59" t="s">
        <v>65</v>
      </c>
      <c r="C297" s="59">
        <v>10</v>
      </c>
      <c r="D297" s="63" t="s">
        <v>459</v>
      </c>
      <c r="E297" s="234">
        <v>11367.6</v>
      </c>
      <c r="F297" s="235"/>
      <c r="G297" s="235"/>
      <c r="H297" s="236"/>
      <c r="I297" s="61"/>
      <c r="J297" s="61">
        <f>'Прил 2'!J154</f>
        <v>9038</v>
      </c>
      <c r="K297" s="62">
        <f>J297/E297*100</f>
        <v>79.50666807417572</v>
      </c>
    </row>
    <row r="298" spans="1:11" ht="78.75" hidden="1">
      <c r="A298" s="63" t="s">
        <v>152</v>
      </c>
      <c r="B298" s="59" t="s">
        <v>125</v>
      </c>
      <c r="C298" s="59">
        <v>966</v>
      </c>
      <c r="D298" s="63">
        <v>1004</v>
      </c>
      <c r="E298" s="63" t="s">
        <v>235</v>
      </c>
      <c r="F298" s="59"/>
      <c r="G298" s="59"/>
      <c r="H298" s="64" t="e">
        <f>H299</f>
        <v>#REF!</v>
      </c>
      <c r="I298" s="61"/>
      <c r="J298" s="61">
        <f>J299</f>
        <v>5763.5</v>
      </c>
      <c r="K298" s="62" t="e">
        <f aca="true" t="shared" si="6" ref="K298:K317">J298/E298*100</f>
        <v>#VALUE!</v>
      </c>
    </row>
    <row r="299" spans="1:11" ht="22.5" hidden="1">
      <c r="A299" s="63" t="s">
        <v>153</v>
      </c>
      <c r="B299" s="59" t="s">
        <v>99</v>
      </c>
      <c r="C299" s="59">
        <v>966</v>
      </c>
      <c r="D299" s="63">
        <v>1004</v>
      </c>
      <c r="E299" s="63" t="s">
        <v>235</v>
      </c>
      <c r="F299" s="59">
        <v>300</v>
      </c>
      <c r="G299" s="59"/>
      <c r="H299" s="64" t="e">
        <f>#REF!</f>
        <v>#REF!</v>
      </c>
      <c r="I299" s="61"/>
      <c r="J299" s="61">
        <v>5763.5</v>
      </c>
      <c r="K299" s="62" t="e">
        <f t="shared" si="6"/>
        <v>#VALUE!</v>
      </c>
    </row>
    <row r="300" spans="1:11" ht="22.5" hidden="1">
      <c r="A300" s="63"/>
      <c r="B300" s="59" t="s">
        <v>101</v>
      </c>
      <c r="C300" s="59">
        <v>966</v>
      </c>
      <c r="D300" s="63">
        <v>1004</v>
      </c>
      <c r="E300" s="63" t="s">
        <v>235</v>
      </c>
      <c r="F300" s="59">
        <v>310</v>
      </c>
      <c r="G300" s="59"/>
      <c r="H300" s="64">
        <f>H301</f>
        <v>6793.099999999999</v>
      </c>
      <c r="I300" s="61"/>
      <c r="J300" s="61"/>
      <c r="K300" s="62" t="e">
        <f t="shared" si="6"/>
        <v>#VALUE!</v>
      </c>
    </row>
    <row r="301" spans="1:11" ht="33.75" hidden="1">
      <c r="A301" s="63"/>
      <c r="B301" s="59" t="s">
        <v>196</v>
      </c>
      <c r="C301" s="59">
        <v>966</v>
      </c>
      <c r="D301" s="63">
        <v>1004</v>
      </c>
      <c r="E301" s="63" t="s">
        <v>235</v>
      </c>
      <c r="F301" s="59">
        <v>313</v>
      </c>
      <c r="G301" s="59">
        <v>262</v>
      </c>
      <c r="H301" s="64">
        <f>5915.9+695.3+181.9</f>
        <v>6793.099999999999</v>
      </c>
      <c r="I301" s="61"/>
      <c r="J301" s="61"/>
      <c r="K301" s="62" t="e">
        <f t="shared" si="6"/>
        <v>#VALUE!</v>
      </c>
    </row>
    <row r="302" spans="1:11" ht="67.5" hidden="1">
      <c r="A302" s="63" t="s">
        <v>154</v>
      </c>
      <c r="B302" s="59" t="s">
        <v>124</v>
      </c>
      <c r="C302" s="59">
        <v>966</v>
      </c>
      <c r="D302" s="63">
        <v>1004</v>
      </c>
      <c r="E302" s="63" t="s">
        <v>236</v>
      </c>
      <c r="F302" s="59"/>
      <c r="G302" s="59"/>
      <c r="H302" s="64">
        <f>H304</f>
        <v>2588.6</v>
      </c>
      <c r="I302" s="61"/>
      <c r="J302" s="61">
        <f>J303</f>
        <v>2521.6</v>
      </c>
      <c r="K302" s="62" t="e">
        <f t="shared" si="6"/>
        <v>#VALUE!</v>
      </c>
    </row>
    <row r="303" spans="1:11" ht="22.5" hidden="1">
      <c r="A303" s="63" t="s">
        <v>155</v>
      </c>
      <c r="B303" s="59" t="s">
        <v>427</v>
      </c>
      <c r="C303" s="59">
        <v>966</v>
      </c>
      <c r="D303" s="63">
        <v>1004</v>
      </c>
      <c r="E303" s="63" t="s">
        <v>236</v>
      </c>
      <c r="F303" s="59">
        <v>300</v>
      </c>
      <c r="G303" s="59"/>
      <c r="H303" s="64" t="e">
        <f>#REF!</f>
        <v>#REF!</v>
      </c>
      <c r="I303" s="61"/>
      <c r="J303" s="61">
        <v>2521.6</v>
      </c>
      <c r="K303" s="62" t="e">
        <f t="shared" si="6"/>
        <v>#VALUE!</v>
      </c>
    </row>
    <row r="304" spans="1:11" ht="12.75" hidden="1">
      <c r="A304" s="63"/>
      <c r="B304" s="61" t="s">
        <v>109</v>
      </c>
      <c r="C304" s="59">
        <v>966</v>
      </c>
      <c r="D304" s="63">
        <v>1004</v>
      </c>
      <c r="E304" s="63" t="s">
        <v>236</v>
      </c>
      <c r="F304" s="59">
        <v>323</v>
      </c>
      <c r="G304" s="59"/>
      <c r="H304" s="64">
        <f>H305</f>
        <v>2588.6</v>
      </c>
      <c r="I304" s="61"/>
      <c r="J304" s="61"/>
      <c r="K304" s="62" t="e">
        <f t="shared" si="6"/>
        <v>#VALUE!</v>
      </c>
    </row>
    <row r="305" spans="1:11" ht="33.75" hidden="1">
      <c r="A305" s="63"/>
      <c r="B305" s="59" t="s">
        <v>196</v>
      </c>
      <c r="C305" s="59">
        <v>966</v>
      </c>
      <c r="D305" s="63">
        <v>1004</v>
      </c>
      <c r="E305" s="63" t="s">
        <v>236</v>
      </c>
      <c r="F305" s="59">
        <v>323</v>
      </c>
      <c r="G305" s="59">
        <v>226</v>
      </c>
      <c r="H305" s="64">
        <f>3333.7-325.4-419.7</f>
        <v>2588.6</v>
      </c>
      <c r="I305" s="61"/>
      <c r="J305" s="61"/>
      <c r="K305" s="62" t="e">
        <f t="shared" si="6"/>
        <v>#VALUE!</v>
      </c>
    </row>
    <row r="306" spans="1:11" ht="16.5" customHeight="1">
      <c r="A306" s="63" t="s">
        <v>156</v>
      </c>
      <c r="B306" s="59" t="s">
        <v>66</v>
      </c>
      <c r="C306" s="59">
        <v>11</v>
      </c>
      <c r="D306" s="63" t="s">
        <v>456</v>
      </c>
      <c r="E306" s="234">
        <f>E310+E307</f>
        <v>156.5</v>
      </c>
      <c r="F306" s="235"/>
      <c r="G306" s="235"/>
      <c r="H306" s="236"/>
      <c r="I306" s="61"/>
      <c r="J306" s="62">
        <f>J307+J310</f>
        <v>156.5</v>
      </c>
      <c r="K306" s="62">
        <f t="shared" si="6"/>
        <v>100</v>
      </c>
    </row>
    <row r="307" spans="1:11" ht="12.75">
      <c r="A307" s="63" t="s">
        <v>62</v>
      </c>
      <c r="B307" s="59" t="s">
        <v>399</v>
      </c>
      <c r="C307" s="59">
        <v>11</v>
      </c>
      <c r="D307" s="63" t="s">
        <v>470</v>
      </c>
      <c r="E307" s="234">
        <v>58.5</v>
      </c>
      <c r="F307" s="235"/>
      <c r="G307" s="235"/>
      <c r="H307" s="236"/>
      <c r="I307" s="61"/>
      <c r="J307" s="62">
        <f>'Прил 2'!J160</f>
        <v>58.5</v>
      </c>
      <c r="K307" s="62">
        <f t="shared" si="6"/>
        <v>100</v>
      </c>
    </row>
    <row r="308" spans="1:11" ht="146.25" hidden="1">
      <c r="A308" s="63" t="s">
        <v>64</v>
      </c>
      <c r="B308" s="59" t="s">
        <v>126</v>
      </c>
      <c r="C308" s="59">
        <v>966</v>
      </c>
      <c r="D308" s="63" t="s">
        <v>398</v>
      </c>
      <c r="E308" s="63" t="s">
        <v>238</v>
      </c>
      <c r="F308" s="59"/>
      <c r="G308" s="59"/>
      <c r="H308" s="64" t="e">
        <f>H309</f>
        <v>#REF!</v>
      </c>
      <c r="I308" s="61"/>
      <c r="J308" s="62" t="e">
        <f>J309</f>
        <v>#REF!</v>
      </c>
      <c r="K308" s="62" t="e">
        <f t="shared" si="6"/>
        <v>#REF!</v>
      </c>
    </row>
    <row r="309" spans="1:11" ht="33.75" hidden="1">
      <c r="A309" s="63" t="s">
        <v>157</v>
      </c>
      <c r="B309" s="59" t="s">
        <v>24</v>
      </c>
      <c r="C309" s="59">
        <v>966</v>
      </c>
      <c r="D309" s="63" t="s">
        <v>398</v>
      </c>
      <c r="E309" s="63" t="s">
        <v>238</v>
      </c>
      <c r="F309" s="59">
        <v>200</v>
      </c>
      <c r="G309" s="59"/>
      <c r="H309" s="64" t="e">
        <f>#REF!</f>
        <v>#REF!</v>
      </c>
      <c r="I309" s="61"/>
      <c r="J309" s="62" t="e">
        <f>H309</f>
        <v>#REF!</v>
      </c>
      <c r="K309" s="62" t="e">
        <f t="shared" si="6"/>
        <v>#REF!</v>
      </c>
    </row>
    <row r="310" spans="1:11" ht="12.75">
      <c r="A310" s="63" t="s">
        <v>288</v>
      </c>
      <c r="B310" s="59" t="s">
        <v>68</v>
      </c>
      <c r="C310" s="59">
        <v>11</v>
      </c>
      <c r="D310" s="63" t="s">
        <v>457</v>
      </c>
      <c r="E310" s="234">
        <f>'Прил 2'!H163</f>
        <v>98</v>
      </c>
      <c r="F310" s="235"/>
      <c r="G310" s="235"/>
      <c r="H310" s="236"/>
      <c r="I310" s="61"/>
      <c r="J310" s="62">
        <f>'Прил 2'!J163</f>
        <v>98</v>
      </c>
      <c r="K310" s="62">
        <f t="shared" si="6"/>
        <v>100</v>
      </c>
    </row>
    <row r="311" spans="1:11" ht="146.25" hidden="1">
      <c r="A311" s="63" t="s">
        <v>405</v>
      </c>
      <c r="B311" s="59" t="s">
        <v>126</v>
      </c>
      <c r="C311" s="59">
        <v>966</v>
      </c>
      <c r="D311" s="63">
        <v>1102</v>
      </c>
      <c r="E311" s="63" t="s">
        <v>238</v>
      </c>
      <c r="F311" s="59"/>
      <c r="G311" s="59"/>
      <c r="H311" s="64" t="e">
        <f>H312</f>
        <v>#REF!</v>
      </c>
      <c r="I311" s="61"/>
      <c r="J311" s="62" t="e">
        <f>J312</f>
        <v>#REF!</v>
      </c>
      <c r="K311" s="62" t="e">
        <f t="shared" si="6"/>
        <v>#REF!</v>
      </c>
    </row>
    <row r="312" spans="1:11" ht="33.75" hidden="1">
      <c r="A312" s="63" t="s">
        <v>406</v>
      </c>
      <c r="B312" s="59" t="s">
        <v>24</v>
      </c>
      <c r="C312" s="59">
        <v>966</v>
      </c>
      <c r="D312" s="63">
        <v>1102</v>
      </c>
      <c r="E312" s="63" t="s">
        <v>238</v>
      </c>
      <c r="F312" s="59">
        <v>200</v>
      </c>
      <c r="G312" s="59"/>
      <c r="H312" s="64" t="e">
        <f>#REF!</f>
        <v>#REF!</v>
      </c>
      <c r="I312" s="61"/>
      <c r="J312" s="62" t="e">
        <f>H312</f>
        <v>#REF!</v>
      </c>
      <c r="K312" s="62" t="e">
        <f t="shared" si="6"/>
        <v>#REF!</v>
      </c>
    </row>
    <row r="313" spans="1:11" ht="33.75" hidden="1">
      <c r="A313" s="63"/>
      <c r="B313" s="59" t="s">
        <v>107</v>
      </c>
      <c r="C313" s="59">
        <v>966</v>
      </c>
      <c r="D313" s="63">
        <v>1102</v>
      </c>
      <c r="E313" s="63" t="s">
        <v>238</v>
      </c>
      <c r="F313" s="59">
        <v>240</v>
      </c>
      <c r="G313" s="59"/>
      <c r="H313" s="64">
        <f>H314</f>
        <v>600</v>
      </c>
      <c r="I313" s="61"/>
      <c r="J313" s="61"/>
      <c r="K313" s="62">
        <f t="shared" si="6"/>
        <v>0</v>
      </c>
    </row>
    <row r="314" spans="1:11" ht="45" hidden="1">
      <c r="A314" s="63"/>
      <c r="B314" s="59" t="s">
        <v>195</v>
      </c>
      <c r="C314" s="59">
        <v>966</v>
      </c>
      <c r="D314" s="63">
        <v>1102</v>
      </c>
      <c r="E314" s="63" t="s">
        <v>238</v>
      </c>
      <c r="F314" s="59">
        <v>244</v>
      </c>
      <c r="G314" s="59"/>
      <c r="H314" s="64">
        <f>H315</f>
        <v>600</v>
      </c>
      <c r="I314" s="61"/>
      <c r="J314" s="61"/>
      <c r="K314" s="62">
        <f t="shared" si="6"/>
        <v>0</v>
      </c>
    </row>
    <row r="315" spans="1:11" ht="12.75" hidden="1">
      <c r="A315" s="63"/>
      <c r="B315" s="59" t="s">
        <v>199</v>
      </c>
      <c r="C315" s="59">
        <v>966</v>
      </c>
      <c r="D315" s="63">
        <v>1102</v>
      </c>
      <c r="E315" s="63" t="s">
        <v>238</v>
      </c>
      <c r="F315" s="59">
        <v>244</v>
      </c>
      <c r="G315" s="59">
        <v>290</v>
      </c>
      <c r="H315" s="64">
        <f>200+400</f>
        <v>600</v>
      </c>
      <c r="I315" s="61"/>
      <c r="J315" s="61"/>
      <c r="K315" s="62">
        <f t="shared" si="6"/>
        <v>0</v>
      </c>
    </row>
    <row r="316" spans="1:11" ht="13.5" customHeight="1">
      <c r="A316" s="63" t="s">
        <v>158</v>
      </c>
      <c r="B316" s="59" t="s">
        <v>71</v>
      </c>
      <c r="C316" s="59">
        <v>12</v>
      </c>
      <c r="D316" s="63" t="s">
        <v>456</v>
      </c>
      <c r="E316" s="234">
        <f>E317</f>
        <v>684.6</v>
      </c>
      <c r="F316" s="235"/>
      <c r="G316" s="235"/>
      <c r="H316" s="236"/>
      <c r="I316" s="61"/>
      <c r="J316" s="61">
        <f>J317</f>
        <v>684.6</v>
      </c>
      <c r="K316" s="62">
        <f t="shared" si="6"/>
        <v>100</v>
      </c>
    </row>
    <row r="317" spans="1:11" ht="14.25" customHeight="1">
      <c r="A317" s="63" t="s">
        <v>67</v>
      </c>
      <c r="B317" s="59" t="s">
        <v>72</v>
      </c>
      <c r="C317" s="59">
        <v>12</v>
      </c>
      <c r="D317" s="63" t="s">
        <v>457</v>
      </c>
      <c r="E317" s="234">
        <v>684.6</v>
      </c>
      <c r="F317" s="235"/>
      <c r="G317" s="235"/>
      <c r="H317" s="236"/>
      <c r="I317" s="61"/>
      <c r="J317" s="219">
        <f>'Прил 2'!J167</f>
        <v>684.6</v>
      </c>
      <c r="K317" s="62">
        <f t="shared" si="6"/>
        <v>100</v>
      </c>
    </row>
    <row r="318" spans="1:11" ht="180" hidden="1">
      <c r="A318" s="63" t="s">
        <v>69</v>
      </c>
      <c r="B318" s="59" t="s">
        <v>110</v>
      </c>
      <c r="C318" s="59">
        <v>966</v>
      </c>
      <c r="D318" s="63">
        <v>1202</v>
      </c>
      <c r="E318" s="63" t="s">
        <v>189</v>
      </c>
      <c r="F318" s="59"/>
      <c r="G318" s="59"/>
      <c r="H318" s="64" t="e">
        <f>H319</f>
        <v>#REF!</v>
      </c>
      <c r="I318" s="61"/>
      <c r="J318" s="61">
        <f>J319</f>
        <v>1649.2</v>
      </c>
      <c r="K318" s="61"/>
    </row>
    <row r="319" spans="1:11" ht="33.75" hidden="1">
      <c r="A319" s="63" t="s">
        <v>70</v>
      </c>
      <c r="B319" s="59" t="s">
        <v>24</v>
      </c>
      <c r="C319" s="59">
        <v>966</v>
      </c>
      <c r="D319" s="63">
        <v>1202</v>
      </c>
      <c r="E319" s="63" t="s">
        <v>189</v>
      </c>
      <c r="F319" s="59">
        <v>200</v>
      </c>
      <c r="G319" s="59"/>
      <c r="H319" s="64" t="e">
        <f>#REF!</f>
        <v>#REF!</v>
      </c>
      <c r="I319" s="61"/>
      <c r="J319" s="61">
        <f>1649.2</f>
        <v>1649.2</v>
      </c>
      <c r="K319" s="61"/>
    </row>
    <row r="320" spans="1:11" ht="33.75" hidden="1">
      <c r="A320" s="63"/>
      <c r="B320" s="59" t="s">
        <v>107</v>
      </c>
      <c r="C320" s="59">
        <v>966</v>
      </c>
      <c r="D320" s="63">
        <v>1202</v>
      </c>
      <c r="E320" s="63" t="s">
        <v>189</v>
      </c>
      <c r="F320" s="59">
        <v>240</v>
      </c>
      <c r="G320" s="59"/>
      <c r="H320" s="64">
        <f>H321</f>
        <v>1650.4</v>
      </c>
      <c r="I320" s="61"/>
      <c r="J320" s="61"/>
      <c r="K320" s="61"/>
    </row>
    <row r="321" spans="1:11" ht="45" hidden="1">
      <c r="A321" s="63"/>
      <c r="B321" s="59" t="s">
        <v>195</v>
      </c>
      <c r="C321" s="59">
        <v>966</v>
      </c>
      <c r="D321" s="63">
        <v>1202</v>
      </c>
      <c r="E321" s="63" t="s">
        <v>189</v>
      </c>
      <c r="F321" s="59">
        <v>244</v>
      </c>
      <c r="G321" s="59"/>
      <c r="H321" s="64">
        <f>H322+H323</f>
        <v>1650.4</v>
      </c>
      <c r="I321" s="61"/>
      <c r="J321" s="61"/>
      <c r="K321" s="61"/>
    </row>
    <row r="322" spans="1:11" ht="12.75" hidden="1">
      <c r="A322" s="63"/>
      <c r="B322" s="59" t="s">
        <v>204</v>
      </c>
      <c r="C322" s="59">
        <v>966</v>
      </c>
      <c r="D322" s="63">
        <v>1202</v>
      </c>
      <c r="E322" s="63" t="s">
        <v>189</v>
      </c>
      <c r="F322" s="59">
        <v>244</v>
      </c>
      <c r="G322" s="59">
        <v>226</v>
      </c>
      <c r="H322" s="64">
        <v>145.1</v>
      </c>
      <c r="I322" s="61"/>
      <c r="J322" s="61"/>
      <c r="K322" s="61"/>
    </row>
    <row r="323" spans="1:11" ht="22.5" hidden="1">
      <c r="A323" s="63"/>
      <c r="B323" s="59" t="s">
        <v>213</v>
      </c>
      <c r="C323" s="59">
        <v>966</v>
      </c>
      <c r="D323" s="63">
        <v>1202</v>
      </c>
      <c r="E323" s="63" t="s">
        <v>189</v>
      </c>
      <c r="F323" s="59">
        <v>244</v>
      </c>
      <c r="G323" s="59">
        <v>340</v>
      </c>
      <c r="H323" s="64">
        <f>2854.9-490-859.6</f>
        <v>1505.3000000000002</v>
      </c>
      <c r="I323" s="61" t="s">
        <v>241</v>
      </c>
      <c r="J323" s="61"/>
      <c r="K323" s="61"/>
    </row>
    <row r="324" spans="1:11" ht="12.75">
      <c r="A324" s="63"/>
      <c r="B324" s="59" t="s">
        <v>73</v>
      </c>
      <c r="C324" s="59"/>
      <c r="D324" s="59"/>
      <c r="E324" s="234">
        <f>E12+E54+E188+E202+E270+E277+E290+E306+E316</f>
        <v>130054.80000000002</v>
      </c>
      <c r="F324" s="235"/>
      <c r="G324" s="235"/>
      <c r="H324" s="236"/>
      <c r="I324" s="61"/>
      <c r="J324" s="62">
        <f>J12+J54+J188+J202+J270+J277+J290+J306+J316</f>
        <v>120131.20000000001</v>
      </c>
      <c r="K324" s="62">
        <f>J324/E324*100</f>
        <v>92.36967801265313</v>
      </c>
    </row>
  </sheetData>
  <sheetProtection/>
  <mergeCells count="30">
    <mergeCell ref="E317:H317"/>
    <mergeCell ref="E324:H324"/>
    <mergeCell ref="D1:K1"/>
    <mergeCell ref="B2:K2"/>
    <mergeCell ref="B3:K3"/>
    <mergeCell ref="B4:K4"/>
    <mergeCell ref="B5:K5"/>
    <mergeCell ref="E291:H291"/>
    <mergeCell ref="E297:H297"/>
    <mergeCell ref="E306:H306"/>
    <mergeCell ref="E316:H316"/>
    <mergeCell ref="E203:H203"/>
    <mergeCell ref="E270:H270"/>
    <mergeCell ref="E271:H271"/>
    <mergeCell ref="E277:H277"/>
    <mergeCell ref="E278:H278"/>
    <mergeCell ref="E290:H290"/>
    <mergeCell ref="E126:H126"/>
    <mergeCell ref="E188:H188"/>
    <mergeCell ref="E189:H189"/>
    <mergeCell ref="E202:H202"/>
    <mergeCell ref="E307:H307"/>
    <mergeCell ref="E310:H310"/>
    <mergeCell ref="E11:H11"/>
    <mergeCell ref="E12:H12"/>
    <mergeCell ref="E14:H14"/>
    <mergeCell ref="B10:F10"/>
    <mergeCell ref="E22:H22"/>
    <mergeCell ref="E55:H55"/>
    <mergeCell ref="E54:F5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2">
      <selection activeCell="G16" sqref="G16"/>
    </sheetView>
  </sheetViews>
  <sheetFormatPr defaultColWidth="9.00390625" defaultRowHeight="12.75"/>
  <cols>
    <col min="1" max="1" width="16.00390625" style="0" customWidth="1"/>
    <col min="2" max="2" width="18.125" style="0" customWidth="1"/>
    <col min="3" max="3" width="25.00390625" style="0" customWidth="1"/>
    <col min="4" max="4" width="15.25390625" style="0" customWidth="1"/>
    <col min="5" max="5" width="13.75390625" style="0" customWidth="1"/>
    <col min="6" max="6" width="11.625" style="0" customWidth="1"/>
    <col min="11" max="11" width="17.25390625" style="0" customWidth="1"/>
    <col min="13" max="13" width="20.25390625" style="0" customWidth="1"/>
  </cols>
  <sheetData>
    <row r="1" spans="1:6" ht="12.75" customHeight="1">
      <c r="A1" s="246" t="s">
        <v>532</v>
      </c>
      <c r="B1" s="246"/>
      <c r="C1" s="246"/>
      <c r="D1" s="246"/>
      <c r="E1" s="246"/>
      <c r="F1" s="246"/>
    </row>
    <row r="2" spans="1:6" ht="12.75" customHeight="1">
      <c r="A2" s="246"/>
      <c r="B2" s="246"/>
      <c r="C2" s="246"/>
      <c r="D2" s="246"/>
      <c r="E2" s="246"/>
      <c r="F2" s="246"/>
    </row>
    <row r="3" spans="1:6" ht="65.25" customHeight="1">
      <c r="A3" s="246"/>
      <c r="B3" s="246"/>
      <c r="C3" s="246"/>
      <c r="D3" s="246"/>
      <c r="E3" s="246"/>
      <c r="F3" s="246"/>
    </row>
    <row r="4" spans="1:6" ht="37.5" customHeight="1">
      <c r="A4" s="245" t="s">
        <v>522</v>
      </c>
      <c r="B4" s="245"/>
      <c r="C4" s="245"/>
      <c r="D4" s="245"/>
      <c r="E4" s="245"/>
      <c r="F4" s="245"/>
    </row>
    <row r="5" spans="1:4" ht="15">
      <c r="A5" s="44"/>
      <c r="B5" s="45"/>
      <c r="C5" s="45"/>
      <c r="D5" s="45"/>
    </row>
    <row r="6" spans="1:6" ht="76.5" customHeight="1">
      <c r="A6" s="247" t="s">
        <v>428</v>
      </c>
      <c r="B6" s="247" t="s">
        <v>407</v>
      </c>
      <c r="C6" s="247" t="s">
        <v>408</v>
      </c>
      <c r="D6" s="247" t="s">
        <v>473</v>
      </c>
      <c r="E6" s="242" t="s">
        <v>474</v>
      </c>
      <c r="F6" s="242" t="s">
        <v>464</v>
      </c>
    </row>
    <row r="7" spans="1:6" ht="6" customHeight="1" hidden="1">
      <c r="A7" s="247"/>
      <c r="B7" s="247"/>
      <c r="C7" s="247"/>
      <c r="D7" s="247"/>
      <c r="E7" s="243"/>
      <c r="F7" s="243"/>
    </row>
    <row r="8" spans="1:15" ht="7.5" customHeight="1" hidden="1">
      <c r="A8" s="247"/>
      <c r="B8" s="247"/>
      <c r="C8" s="247"/>
      <c r="D8" s="247"/>
      <c r="E8" s="244"/>
      <c r="F8" s="244"/>
      <c r="K8" s="76"/>
      <c r="L8" s="76"/>
      <c r="M8" s="76"/>
      <c r="N8" s="76"/>
      <c r="O8" s="76"/>
    </row>
    <row r="9" spans="1:15" ht="43.5" customHeight="1">
      <c r="A9" s="75">
        <v>0</v>
      </c>
      <c r="B9" s="78" t="s">
        <v>409</v>
      </c>
      <c r="C9" s="78" t="s">
        <v>410</v>
      </c>
      <c r="D9" s="79">
        <f>D13-D17</f>
        <v>-169.00000000004366</v>
      </c>
      <c r="E9" s="77">
        <f>E13-E17</f>
        <v>-5718.100000000035</v>
      </c>
      <c r="F9" s="80">
        <f>E9/D9*100</f>
        <v>3383.491124259502</v>
      </c>
      <c r="K9" s="72"/>
      <c r="L9" s="71"/>
      <c r="M9" s="74"/>
      <c r="N9" s="73"/>
      <c r="O9" s="76"/>
    </row>
    <row r="10" spans="1:15" ht="36" customHeight="1">
      <c r="A10" s="75">
        <v>0</v>
      </c>
      <c r="B10" s="78" t="s">
        <v>411</v>
      </c>
      <c r="C10" s="78" t="s">
        <v>412</v>
      </c>
      <c r="D10" s="78">
        <f aca="true" t="shared" si="0" ref="D10:E12">D11</f>
        <v>129885.79999999999</v>
      </c>
      <c r="E10" s="77">
        <f t="shared" si="0"/>
        <v>114413.09999999998</v>
      </c>
      <c r="F10" s="80">
        <f aca="true" t="shared" si="1" ref="F10:F17">E10/D10*100</f>
        <v>88.0874583672734</v>
      </c>
      <c r="K10" s="72"/>
      <c r="L10" s="71"/>
      <c r="M10" s="74"/>
      <c r="N10" s="72"/>
      <c r="O10" s="76"/>
    </row>
    <row r="11" spans="1:15" ht="42.75" customHeight="1">
      <c r="A11" s="75">
        <v>0</v>
      </c>
      <c r="B11" s="78" t="s">
        <v>413</v>
      </c>
      <c r="C11" s="78" t="s">
        <v>414</v>
      </c>
      <c r="D11" s="78">
        <f t="shared" si="0"/>
        <v>129885.79999999999</v>
      </c>
      <c r="E11" s="77">
        <f t="shared" si="0"/>
        <v>114413.09999999998</v>
      </c>
      <c r="F11" s="80">
        <f t="shared" si="1"/>
        <v>88.0874583672734</v>
      </c>
      <c r="K11" s="72"/>
      <c r="L11" s="71"/>
      <c r="M11" s="74"/>
      <c r="N11" s="72"/>
      <c r="O11" s="76"/>
    </row>
    <row r="12" spans="1:15" ht="25.5">
      <c r="A12" s="75">
        <v>0</v>
      </c>
      <c r="B12" s="78" t="s">
        <v>415</v>
      </c>
      <c r="C12" s="78" t="s">
        <v>416</v>
      </c>
      <c r="D12" s="78">
        <f t="shared" si="0"/>
        <v>129885.79999999999</v>
      </c>
      <c r="E12" s="77">
        <f t="shared" si="0"/>
        <v>114413.09999999998</v>
      </c>
      <c r="F12" s="80">
        <f t="shared" si="1"/>
        <v>88.0874583672734</v>
      </c>
      <c r="K12" s="72"/>
      <c r="L12" s="71"/>
      <c r="M12" s="74"/>
      <c r="N12" s="72"/>
      <c r="O12" s="76"/>
    </row>
    <row r="13" spans="1:15" ht="76.5">
      <c r="A13" s="75">
        <v>966</v>
      </c>
      <c r="B13" s="78" t="s">
        <v>417</v>
      </c>
      <c r="C13" s="78" t="s">
        <v>418</v>
      </c>
      <c r="D13" s="78">
        <f>'Прил 1 '!D84</f>
        <v>129885.79999999999</v>
      </c>
      <c r="E13" s="77">
        <f>'Прил 1 '!E84</f>
        <v>114413.09999999998</v>
      </c>
      <c r="F13" s="80">
        <f t="shared" si="1"/>
        <v>88.0874583672734</v>
      </c>
      <c r="K13" s="72"/>
      <c r="L13" s="71"/>
      <c r="M13" s="74"/>
      <c r="N13" s="72"/>
      <c r="O13" s="76"/>
    </row>
    <row r="14" spans="1:15" ht="39" customHeight="1">
      <c r="A14" s="75">
        <v>0</v>
      </c>
      <c r="B14" s="78" t="s">
        <v>419</v>
      </c>
      <c r="C14" s="78" t="s">
        <v>420</v>
      </c>
      <c r="D14" s="79">
        <f>D15</f>
        <v>130054.80000000003</v>
      </c>
      <c r="E14" s="77">
        <v>0</v>
      </c>
      <c r="F14" s="80">
        <f t="shared" si="1"/>
        <v>0</v>
      </c>
      <c r="K14" s="72"/>
      <c r="L14" s="71"/>
      <c r="M14" s="74"/>
      <c r="N14" s="73"/>
      <c r="O14" s="76"/>
    </row>
    <row r="15" spans="1:15" ht="35.25" customHeight="1">
      <c r="A15" s="75">
        <v>0</v>
      </c>
      <c r="B15" s="78" t="s">
        <v>421</v>
      </c>
      <c r="C15" s="78" t="s">
        <v>422</v>
      </c>
      <c r="D15" s="79">
        <f>D16</f>
        <v>130054.80000000003</v>
      </c>
      <c r="E15" s="77">
        <f>E16</f>
        <v>120131.20000000001</v>
      </c>
      <c r="F15" s="80">
        <f t="shared" si="1"/>
        <v>92.36967801265311</v>
      </c>
      <c r="G15" s="43"/>
      <c r="K15" s="72"/>
      <c r="L15" s="71"/>
      <c r="M15" s="74"/>
      <c r="N15" s="73"/>
      <c r="O15" s="76"/>
    </row>
    <row r="16" spans="1:15" ht="38.25">
      <c r="A16" s="75">
        <v>0</v>
      </c>
      <c r="B16" s="78" t="s">
        <v>423</v>
      </c>
      <c r="C16" s="78" t="s">
        <v>424</v>
      </c>
      <c r="D16" s="79">
        <f>D17</f>
        <v>130054.80000000003</v>
      </c>
      <c r="E16" s="77">
        <f>E17</f>
        <v>120131.20000000001</v>
      </c>
      <c r="F16" s="80">
        <f t="shared" si="1"/>
        <v>92.36967801265311</v>
      </c>
      <c r="K16" s="72"/>
      <c r="L16" s="71"/>
      <c r="M16" s="74"/>
      <c r="N16" s="73"/>
      <c r="O16" s="76"/>
    </row>
    <row r="17" spans="1:15" ht="81" customHeight="1">
      <c r="A17" s="75">
        <v>966</v>
      </c>
      <c r="B17" s="78" t="s">
        <v>425</v>
      </c>
      <c r="C17" s="78" t="s">
        <v>426</v>
      </c>
      <c r="D17" s="79">
        <f>'Прил 2'!H170</f>
        <v>130054.80000000003</v>
      </c>
      <c r="E17" s="77">
        <f>'Прил 2'!J170</f>
        <v>120131.20000000001</v>
      </c>
      <c r="F17" s="80">
        <f t="shared" si="1"/>
        <v>92.36967801265311</v>
      </c>
      <c r="K17" s="72"/>
      <c r="L17" s="71"/>
      <c r="M17" s="74"/>
      <c r="N17" s="73"/>
      <c r="O17" s="76"/>
    </row>
    <row r="18" spans="11:15" ht="12.75">
      <c r="K18" s="76"/>
      <c r="L18" s="76"/>
      <c r="M18" s="76"/>
      <c r="N18" s="76"/>
      <c r="O18" s="76"/>
    </row>
  </sheetData>
  <sheetProtection/>
  <mergeCells count="8">
    <mergeCell ref="E6:E8"/>
    <mergeCell ref="F6:F8"/>
    <mergeCell ref="A4:F4"/>
    <mergeCell ref="A1:F3"/>
    <mergeCell ref="B6:B8"/>
    <mergeCell ref="C6:C8"/>
    <mergeCell ref="A6:A8"/>
    <mergeCell ref="D6:D8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2018-05-16T10:45:33Z</cp:lastPrinted>
  <dcterms:created xsi:type="dcterms:W3CDTF">2015-01-16T07:52:13Z</dcterms:created>
  <dcterms:modified xsi:type="dcterms:W3CDTF">2018-05-17T11:20:17Z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